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9140" windowHeight="6840" tabRatio="959" firstSheet="7" activeTab="7"/>
  </bookViews>
  <sheets>
    <sheet name="7 (Juni 2017)" sheetId="23" state="hidden" r:id="rId1"/>
    <sheet name="7 (Juni 2018)" sheetId="24" state="hidden" r:id="rId2"/>
    <sheet name="7 (Juni 2019)" sheetId="25" state="hidden" r:id="rId3"/>
    <sheet name="8 (Juni 2017)" sheetId="15" state="hidden" r:id="rId4"/>
    <sheet name="8 (Juni 2018)" sheetId="16" state="hidden" r:id="rId5"/>
    <sheet name="7 (Juni 2020)" sheetId="34" state="hidden" r:id="rId6"/>
    <sheet name="7 (SEPT 2020)" sheetId="45" state="hidden" r:id="rId7"/>
    <sheet name="7 (DES 2020)" sheetId="53" r:id="rId8"/>
    <sheet name="8 (SEPT 2020)" sheetId="46" state="hidden" r:id="rId9"/>
    <sheet name="8 (Juni 2020)" sheetId="35" state="hidden" r:id="rId10"/>
    <sheet name="8 (Juni 2019)" sheetId="28" state="hidden" r:id="rId11"/>
    <sheet name="9 (Juni 2017)" sheetId="3" state="hidden" r:id="rId12"/>
    <sheet name="9 (Juni 2018)" sheetId="6" state="hidden" r:id="rId13"/>
    <sheet name="8 (DES 2020)" sheetId="54" r:id="rId14"/>
    <sheet name="9 (SEPT 2020)" sheetId="47" state="hidden" r:id="rId15"/>
    <sheet name="9 (Juni 2020)" sheetId="38" state="hidden" r:id="rId16"/>
    <sheet name="9 (Juni 2019)" sheetId="26" state="hidden" r:id="rId17"/>
    <sheet name="10 (Juni 2017)" sheetId="7" state="hidden" r:id="rId18"/>
    <sheet name="10 (Juni 2018)" sheetId="9" state="hidden" r:id="rId19"/>
    <sheet name="10 (Juni 2020)" sheetId="39" state="hidden" r:id="rId20"/>
    <sheet name="10 (Juni 2019)" sheetId="27" state="hidden" r:id="rId21"/>
    <sheet name="11 (juni 2017)" sheetId="17" state="hidden" r:id="rId22"/>
    <sheet name="11 (juni 2018)" sheetId="18" state="hidden" r:id="rId23"/>
    <sheet name="9 (DES 2020)" sheetId="55" r:id="rId24"/>
    <sheet name="10 (SEPT 2020)" sheetId="48" state="hidden" r:id="rId25"/>
    <sheet name="10 (DES 2020)" sheetId="56" r:id="rId26"/>
    <sheet name="11 (DES 2020)" sheetId="57" r:id="rId27"/>
    <sheet name="11 (SEPT 2020)" sheetId="49" state="hidden" r:id="rId28"/>
    <sheet name="11 (juni 2020)" sheetId="40" state="hidden" r:id="rId29"/>
    <sheet name="11 (juni 2019)" sheetId="29" state="hidden" r:id="rId30"/>
    <sheet name="12 (juni 2017) " sheetId="19" state="hidden" r:id="rId31"/>
    <sheet name="12 (juni 2018)" sheetId="20" state="hidden" r:id="rId32"/>
    <sheet name="12 (DES 2020)" sheetId="58" r:id="rId33"/>
    <sheet name="12 (SEPT 2020)" sheetId="50" state="hidden" r:id="rId34"/>
    <sheet name="12 (juni 2020)" sheetId="41" state="hidden" r:id="rId35"/>
    <sheet name="12 (juni 2019)" sheetId="30" state="hidden" r:id="rId36"/>
    <sheet name="13 (Juni 2017)" sheetId="8" state="hidden" r:id="rId37"/>
    <sheet name="13 (Juni 2018)" sheetId="10" state="hidden" r:id="rId38"/>
    <sheet name="13 (SEPT 2020)" sheetId="51" state="hidden" r:id="rId39"/>
    <sheet name="13 (DES 2020)" sheetId="59" r:id="rId40"/>
    <sheet name="13 (Juni 2020)" sheetId="42" state="hidden" r:id="rId41"/>
    <sheet name="13 (Juni 2019)" sheetId="31" state="hidden" r:id="rId42"/>
    <sheet name="Risiko Pasar Juni 2017" sheetId="11" state="hidden" r:id="rId43"/>
    <sheet name="Risiko Pasar Juni 2018" sheetId="12" state="hidden" r:id="rId44"/>
    <sheet name="Risiko Pasar DES 2020" sheetId="60" r:id="rId45"/>
    <sheet name="Risiko Pasar SEPT 2020" sheetId="52" state="hidden" r:id="rId46"/>
    <sheet name="Risiko Pasar Juni 2020" sheetId="43" state="hidden" r:id="rId47"/>
    <sheet name="Risiko Pasar Juni 2019" sheetId="32" state="hidden" r:id="rId48"/>
    <sheet name="R Operasional Juni 2017" sheetId="13" state="hidden" r:id="rId49"/>
    <sheet name="R Operasional Juni 2018" sheetId="14" state="hidden" r:id="rId50"/>
    <sheet name="R Operasional Juni 2019" sheetId="33" state="hidden" r:id="rId51"/>
    <sheet name="R Operasional (DES 2020)" sheetId="61" r:id="rId52"/>
    <sheet name="R Operasional SEPT 2020)" sheetId="44" state="hidden" r:id="rId53"/>
  </sheets>
  <definedNames>
    <definedName name="_xlnm.Print_Area" localSheetId="25">'10 (DES 2020)'!$A$1:$O$47</definedName>
    <definedName name="_xlnm.Print_Area" localSheetId="24">'10 (SEPT 2020)'!$A$1:$O$47</definedName>
    <definedName name="_xlnm.Print_Area" localSheetId="32">'12 (DES 2020)'!$A$1:$N$3</definedName>
    <definedName name="_xlnm.Print_Area" localSheetId="33">'12 (SEPT 2020)'!$A$1:$N$3</definedName>
    <definedName name="_xlnm.Print_Area" localSheetId="7">'7 (DES 2020)'!$A$1:$P$53</definedName>
    <definedName name="_xlnm.Print_Area" localSheetId="6">'7 (SEPT 2020)'!$A$1:$P$53</definedName>
    <definedName name="_xlnm.Print_Area" localSheetId="23">'9 (DES 2020)'!$A$1:$AD$48</definedName>
    <definedName name="_xlnm.Print_Area" localSheetId="14">'9 (SEPT 2020)'!$A$1:$AD$48</definedName>
  </definedNames>
  <calcPr calcId="144525" iterate="1"/>
</workbook>
</file>

<file path=xl/calcChain.xml><?xml version="1.0" encoding="utf-8"?>
<calcChain xmlns="http://schemas.openxmlformats.org/spreadsheetml/2006/main">
  <c r="I11" i="60" l="1"/>
  <c r="I10" i="61" l="1"/>
  <c r="H10" i="61"/>
  <c r="G10" i="61"/>
  <c r="F10" i="61"/>
  <c r="E10" i="61"/>
  <c r="D10" i="61"/>
  <c r="J16" i="60"/>
  <c r="H16" i="60"/>
  <c r="F16" i="60"/>
  <c r="D16" i="60"/>
  <c r="K14" i="60"/>
  <c r="I14" i="60"/>
  <c r="G14" i="60"/>
  <c r="E14" i="60"/>
  <c r="K13" i="60"/>
  <c r="I13" i="60"/>
  <c r="G13" i="60"/>
  <c r="E13" i="60"/>
  <c r="K12" i="60"/>
  <c r="I12" i="60"/>
  <c r="G12" i="60"/>
  <c r="E12" i="60"/>
  <c r="E11" i="60"/>
  <c r="E16" i="60" s="1"/>
  <c r="K10" i="60"/>
  <c r="I10" i="60"/>
  <c r="G10" i="60"/>
  <c r="E10" i="60"/>
  <c r="K9" i="60"/>
  <c r="K16" i="60" s="1"/>
  <c r="I9" i="60"/>
  <c r="G9" i="60"/>
  <c r="G16" i="60" s="1"/>
  <c r="E9" i="60"/>
  <c r="I16" i="60" l="1"/>
  <c r="F20" i="59"/>
  <c r="I82" i="59"/>
  <c r="H82" i="59"/>
  <c r="G82" i="59"/>
  <c r="F82" i="59"/>
  <c r="K67" i="59"/>
  <c r="J67" i="59"/>
  <c r="I67" i="59"/>
  <c r="H67" i="59"/>
  <c r="G67" i="59"/>
  <c r="F67" i="59"/>
  <c r="K53" i="59"/>
  <c r="J53" i="59"/>
  <c r="I53" i="59"/>
  <c r="H53" i="59"/>
  <c r="G53" i="59"/>
  <c r="F53" i="59"/>
  <c r="K38" i="59"/>
  <c r="J38" i="59"/>
  <c r="I38" i="59"/>
  <c r="H38" i="59"/>
  <c r="G38" i="59"/>
  <c r="F38" i="59"/>
  <c r="K20" i="59"/>
  <c r="G87" i="59" s="1"/>
  <c r="J20" i="59"/>
  <c r="I20" i="59"/>
  <c r="H20" i="59"/>
  <c r="G20" i="59"/>
  <c r="F87" i="59" l="1"/>
  <c r="D12" i="56" l="1"/>
  <c r="D20" i="56" s="1"/>
  <c r="W34" i="55"/>
  <c r="S34" i="55"/>
  <c r="T34" i="55"/>
  <c r="U34" i="55"/>
  <c r="R34" i="55"/>
  <c r="D41" i="53"/>
  <c r="F44" i="55"/>
  <c r="G44" i="55"/>
  <c r="H44" i="55"/>
  <c r="I44" i="55"/>
  <c r="J44" i="55"/>
  <c r="K44" i="55"/>
  <c r="L44" i="55"/>
  <c r="M44" i="55"/>
  <c r="N44" i="55"/>
  <c r="O44" i="55"/>
  <c r="J12" i="56"/>
  <c r="N42" i="56"/>
  <c r="M42" i="56"/>
  <c r="L42" i="56"/>
  <c r="K42" i="56"/>
  <c r="J42" i="56"/>
  <c r="H42" i="56"/>
  <c r="G42" i="56"/>
  <c r="F42" i="56"/>
  <c r="E42" i="56"/>
  <c r="D42" i="56"/>
  <c r="O41" i="56"/>
  <c r="I41" i="56"/>
  <c r="O40" i="56"/>
  <c r="I40" i="56"/>
  <c r="O39" i="56"/>
  <c r="I39" i="56"/>
  <c r="O38" i="56"/>
  <c r="I38" i="56"/>
  <c r="O37" i="56"/>
  <c r="I37" i="56"/>
  <c r="O36" i="56"/>
  <c r="I36" i="56"/>
  <c r="I42" i="56" s="1"/>
  <c r="N33" i="56"/>
  <c r="M33" i="56"/>
  <c r="L33" i="56"/>
  <c r="K33" i="56"/>
  <c r="J33" i="56"/>
  <c r="H33" i="56"/>
  <c r="G33" i="56"/>
  <c r="F33" i="56"/>
  <c r="F43" i="56" s="1"/>
  <c r="E33" i="56"/>
  <c r="D33" i="56"/>
  <c r="O32" i="56"/>
  <c r="I32" i="56"/>
  <c r="O31" i="56"/>
  <c r="I31" i="56"/>
  <c r="O30" i="56"/>
  <c r="I30" i="56"/>
  <c r="O29" i="56"/>
  <c r="I29" i="56"/>
  <c r="O28" i="56"/>
  <c r="I28" i="56"/>
  <c r="O27" i="56"/>
  <c r="I27" i="56"/>
  <c r="O26" i="56"/>
  <c r="I26" i="56"/>
  <c r="O25" i="56"/>
  <c r="I25" i="56"/>
  <c r="O24" i="56"/>
  <c r="I24" i="56"/>
  <c r="O23" i="56"/>
  <c r="I23" i="56"/>
  <c r="N20" i="56"/>
  <c r="N43" i="56" s="1"/>
  <c r="M20" i="56"/>
  <c r="M43" i="56" s="1"/>
  <c r="L20" i="56"/>
  <c r="K20" i="56"/>
  <c r="H20" i="56"/>
  <c r="H43" i="56" s="1"/>
  <c r="G20" i="56"/>
  <c r="G43" i="56" s="1"/>
  <c r="E20" i="56"/>
  <c r="O19" i="56"/>
  <c r="I19" i="56"/>
  <c r="O18" i="56"/>
  <c r="I18" i="56"/>
  <c r="O17" i="56"/>
  <c r="I17" i="56"/>
  <c r="O16" i="56"/>
  <c r="I16" i="56"/>
  <c r="O15" i="56"/>
  <c r="I15" i="56"/>
  <c r="O14" i="56"/>
  <c r="I14" i="56"/>
  <c r="O13" i="56"/>
  <c r="I13" i="56"/>
  <c r="J20" i="56"/>
  <c r="O11" i="56"/>
  <c r="I11" i="56"/>
  <c r="O10" i="56"/>
  <c r="I10" i="56"/>
  <c r="O9" i="56"/>
  <c r="I9" i="56"/>
  <c r="K25" i="55"/>
  <c r="F18" i="55"/>
  <c r="F13" i="55"/>
  <c r="K13" i="55"/>
  <c r="I33" i="56" l="1"/>
  <c r="I12" i="56"/>
  <c r="I20" i="56" s="1"/>
  <c r="P44" i="55"/>
  <c r="J43" i="56"/>
  <c r="O42" i="56"/>
  <c r="E43" i="56"/>
  <c r="D43" i="56"/>
  <c r="K43" i="56"/>
  <c r="L43" i="56"/>
  <c r="O33" i="56"/>
  <c r="O12" i="56"/>
  <c r="O20" i="56" s="1"/>
  <c r="X25" i="55"/>
  <c r="S18" i="55"/>
  <c r="X13" i="55"/>
  <c r="X21" i="55" s="1"/>
  <c r="S13" i="55"/>
  <c r="AB44" i="55"/>
  <c r="AA44" i="55"/>
  <c r="Z44" i="55"/>
  <c r="Y44" i="55"/>
  <c r="X44" i="55"/>
  <c r="W44" i="55"/>
  <c r="V44" i="55"/>
  <c r="U44" i="55"/>
  <c r="S44" i="55"/>
  <c r="R44" i="55"/>
  <c r="E44" i="55"/>
  <c r="AC43" i="55"/>
  <c r="AD43" i="55" s="1"/>
  <c r="P43" i="55"/>
  <c r="Q43" i="55" s="1"/>
  <c r="AC42" i="55"/>
  <c r="AD42" i="55" s="1"/>
  <c r="P42" i="55"/>
  <c r="Q42" i="55" s="1"/>
  <c r="AC41" i="55"/>
  <c r="AD41" i="55" s="1"/>
  <c r="P41" i="55"/>
  <c r="Q41" i="55" s="1"/>
  <c r="AC40" i="55"/>
  <c r="AD40" i="55" s="1"/>
  <c r="P40" i="55"/>
  <c r="Q40" i="55" s="1"/>
  <c r="AC39" i="55"/>
  <c r="AD39" i="55" s="1"/>
  <c r="P39" i="55"/>
  <c r="Q39" i="55" s="1"/>
  <c r="AC38" i="55"/>
  <c r="AD38" i="55" s="1"/>
  <c r="P38" i="55"/>
  <c r="Q38" i="55" s="1"/>
  <c r="AC37" i="55"/>
  <c r="AD37" i="55" s="1"/>
  <c r="P37" i="55"/>
  <c r="Q37" i="55" s="1"/>
  <c r="AB34" i="55"/>
  <c r="AA34" i="55"/>
  <c r="Z34" i="55"/>
  <c r="Y34" i="55"/>
  <c r="V34" i="55"/>
  <c r="O34" i="55"/>
  <c r="N34" i="55"/>
  <c r="M34" i="55"/>
  <c r="L34" i="55"/>
  <c r="K34" i="55"/>
  <c r="J34" i="55"/>
  <c r="I34" i="55"/>
  <c r="H34" i="55"/>
  <c r="F34" i="55"/>
  <c r="E34" i="55"/>
  <c r="AC33" i="55"/>
  <c r="AD33" i="55" s="1"/>
  <c r="P33" i="55"/>
  <c r="Q33" i="55" s="1"/>
  <c r="AC32" i="55"/>
  <c r="AD32" i="55" s="1"/>
  <c r="P32" i="55"/>
  <c r="Q32" i="55" s="1"/>
  <c r="AC31" i="55"/>
  <c r="AD31" i="55" s="1"/>
  <c r="P31" i="55"/>
  <c r="Q31" i="55" s="1"/>
  <c r="AC30" i="55"/>
  <c r="AD30" i="55" s="1"/>
  <c r="P30" i="55"/>
  <c r="Q30" i="55" s="1"/>
  <c r="AC29" i="55"/>
  <c r="AD29" i="55" s="1"/>
  <c r="P29" i="55"/>
  <c r="Q29" i="55" s="1"/>
  <c r="AC28" i="55"/>
  <c r="AD28" i="55" s="1"/>
  <c r="P28" i="55"/>
  <c r="Q28" i="55" s="1"/>
  <c r="AC27" i="55"/>
  <c r="AD27" i="55" s="1"/>
  <c r="P27" i="55"/>
  <c r="Q27" i="55" s="1"/>
  <c r="AC26" i="55"/>
  <c r="AD26" i="55" s="1"/>
  <c r="P26" i="55"/>
  <c r="Q26" i="55" s="1"/>
  <c r="X34" i="55"/>
  <c r="P25" i="55"/>
  <c r="Q25" i="55" s="1"/>
  <c r="AC24" i="55"/>
  <c r="AD24" i="55" s="1"/>
  <c r="P24" i="55"/>
  <c r="Q24" i="55" s="1"/>
  <c r="AB21" i="55"/>
  <c r="AA21" i="55"/>
  <c r="Z21" i="55"/>
  <c r="Y21" i="55"/>
  <c r="W21" i="55"/>
  <c r="V21" i="55"/>
  <c r="U21" i="55"/>
  <c r="T21" i="55"/>
  <c r="R21" i="55"/>
  <c r="O21" i="55"/>
  <c r="N21" i="55"/>
  <c r="M21" i="55"/>
  <c r="L21" i="55"/>
  <c r="J21" i="55"/>
  <c r="I21" i="55"/>
  <c r="H21" i="55"/>
  <c r="G21" i="55"/>
  <c r="E21" i="55"/>
  <c r="AC20" i="55"/>
  <c r="AD20" i="55" s="1"/>
  <c r="P20" i="55"/>
  <c r="Q20" i="55" s="1"/>
  <c r="AC19" i="55"/>
  <c r="AD19" i="55" s="1"/>
  <c r="P19" i="55"/>
  <c r="Q19" i="55" s="1"/>
  <c r="AC18" i="55"/>
  <c r="AD18" i="55" s="1"/>
  <c r="P18" i="55"/>
  <c r="Q18" i="55" s="1"/>
  <c r="AC17" i="55"/>
  <c r="AD17" i="55" s="1"/>
  <c r="P17" i="55"/>
  <c r="Q17" i="55" s="1"/>
  <c r="AC16" i="55"/>
  <c r="AD16" i="55" s="1"/>
  <c r="P16" i="55"/>
  <c r="Q16" i="55" s="1"/>
  <c r="AC15" i="55"/>
  <c r="AD15" i="55" s="1"/>
  <c r="P15" i="55"/>
  <c r="Q15" i="55" s="1"/>
  <c r="AC14" i="55"/>
  <c r="AD14" i="55" s="1"/>
  <c r="P14" i="55"/>
  <c r="Q14" i="55" s="1"/>
  <c r="S21" i="55"/>
  <c r="K21" i="55"/>
  <c r="P13" i="55"/>
  <c r="Q13" i="55" s="1"/>
  <c r="AC12" i="55"/>
  <c r="AD12" i="55" s="1"/>
  <c r="P12" i="55"/>
  <c r="Q12" i="55" s="1"/>
  <c r="AC11" i="55"/>
  <c r="AD11" i="55" s="1"/>
  <c r="P11" i="55"/>
  <c r="AC10" i="55"/>
  <c r="AD10" i="55" s="1"/>
  <c r="P10" i="55"/>
  <c r="Q10" i="55" s="1"/>
  <c r="K21" i="54"/>
  <c r="J21" i="54"/>
  <c r="G21" i="54"/>
  <c r="F21" i="54"/>
  <c r="L14" i="54"/>
  <c r="L21" i="54" s="1"/>
  <c r="H14" i="54"/>
  <c r="H21" i="54" s="1"/>
  <c r="O25" i="53"/>
  <c r="R29" i="53"/>
  <c r="O23" i="53"/>
  <c r="P23" i="53"/>
  <c r="O22" i="53"/>
  <c r="P22" i="53" s="1"/>
  <c r="O21" i="53"/>
  <c r="O18" i="53"/>
  <c r="P18" i="53" s="1"/>
  <c r="D17" i="53"/>
  <c r="O17" i="53"/>
  <c r="O14" i="53"/>
  <c r="O47" i="53"/>
  <c r="O46" i="53"/>
  <c r="O45" i="53"/>
  <c r="P45" i="53" s="1"/>
  <c r="O42" i="53"/>
  <c r="P42" i="53" s="1"/>
  <c r="O41" i="53"/>
  <c r="O49" i="53" s="1"/>
  <c r="P41" i="53"/>
  <c r="O38" i="53"/>
  <c r="N49" i="53"/>
  <c r="M49" i="53"/>
  <c r="L49" i="53"/>
  <c r="K49" i="53"/>
  <c r="J49" i="53"/>
  <c r="I49" i="53"/>
  <c r="H49" i="53"/>
  <c r="G49" i="53"/>
  <c r="F49" i="53"/>
  <c r="E49" i="53"/>
  <c r="P48" i="53"/>
  <c r="P47" i="53"/>
  <c r="P46" i="53"/>
  <c r="P44" i="53"/>
  <c r="P43" i="53"/>
  <c r="P40" i="53"/>
  <c r="P39" i="53"/>
  <c r="P38" i="53"/>
  <c r="N25" i="53"/>
  <c r="M25" i="53"/>
  <c r="L25" i="53"/>
  <c r="K25" i="53"/>
  <c r="J25" i="53"/>
  <c r="I25" i="53"/>
  <c r="H25" i="53"/>
  <c r="G25" i="53"/>
  <c r="F25" i="53"/>
  <c r="E25" i="53"/>
  <c r="P24" i="53"/>
  <c r="P21" i="53"/>
  <c r="P20" i="53"/>
  <c r="P19" i="53"/>
  <c r="D25" i="53"/>
  <c r="P16" i="53"/>
  <c r="P15" i="53"/>
  <c r="P14" i="53"/>
  <c r="I43" i="56" l="1"/>
  <c r="AC44" i="55"/>
  <c r="P21" i="55"/>
  <c r="O43" i="56"/>
  <c r="Q44" i="55"/>
  <c r="AD44" i="55"/>
  <c r="Q34" i="55"/>
  <c r="Q11" i="55"/>
  <c r="Q21" i="55" s="1"/>
  <c r="AC25" i="55"/>
  <c r="P34" i="55"/>
  <c r="AC13" i="55"/>
  <c r="AD13" i="55" s="1"/>
  <c r="AD21" i="55" s="1"/>
  <c r="F21" i="55"/>
  <c r="M14" i="54"/>
  <c r="M21" i="54" s="1"/>
  <c r="I14" i="54"/>
  <c r="I21" i="54" s="1"/>
  <c r="P25" i="53"/>
  <c r="Q26" i="53" s="1"/>
  <c r="D49" i="53"/>
  <c r="P49" i="53" s="1"/>
  <c r="P17" i="53"/>
  <c r="Q26" i="45"/>
  <c r="S29" i="45"/>
  <c r="AC21" i="55" l="1"/>
  <c r="AD25" i="55"/>
  <c r="AD34" i="55" s="1"/>
  <c r="AC34" i="55"/>
  <c r="J16" i="52"/>
  <c r="H16" i="52"/>
  <c r="F16" i="52"/>
  <c r="D16" i="52"/>
  <c r="K14" i="52"/>
  <c r="I14" i="52"/>
  <c r="G14" i="52"/>
  <c r="E14" i="52"/>
  <c r="K13" i="52"/>
  <c r="I13" i="52"/>
  <c r="G13" i="52"/>
  <c r="E13" i="52"/>
  <c r="K12" i="52"/>
  <c r="I12" i="52"/>
  <c r="G12" i="52"/>
  <c r="E12" i="52"/>
  <c r="I11" i="52"/>
  <c r="E11" i="52"/>
  <c r="K10" i="52"/>
  <c r="I10" i="52"/>
  <c r="G10" i="52"/>
  <c r="E10" i="52"/>
  <c r="K9" i="52"/>
  <c r="K16" i="52" s="1"/>
  <c r="I9" i="52"/>
  <c r="G9" i="52"/>
  <c r="G16" i="52" s="1"/>
  <c r="E9" i="52"/>
  <c r="AF24" i="55" l="1"/>
  <c r="E16" i="52"/>
  <c r="I16" i="52"/>
  <c r="I82" i="51" l="1"/>
  <c r="H82" i="51"/>
  <c r="G82" i="51"/>
  <c r="F82" i="51"/>
  <c r="K67" i="51"/>
  <c r="J67" i="51"/>
  <c r="I67" i="51"/>
  <c r="H67" i="51"/>
  <c r="G67" i="51"/>
  <c r="F67" i="51"/>
  <c r="K53" i="51"/>
  <c r="J53" i="51"/>
  <c r="I53" i="51"/>
  <c r="H53" i="51"/>
  <c r="G53" i="51"/>
  <c r="F53" i="51"/>
  <c r="K38" i="51"/>
  <c r="J38" i="51"/>
  <c r="I38" i="51"/>
  <c r="H38" i="51"/>
  <c r="G38" i="51"/>
  <c r="F38" i="51"/>
  <c r="K20" i="51"/>
  <c r="J20" i="51"/>
  <c r="I20" i="51"/>
  <c r="H20" i="51"/>
  <c r="G20" i="51"/>
  <c r="F20" i="51"/>
  <c r="F87" i="51" l="1"/>
  <c r="G87" i="51"/>
  <c r="D12" i="48" l="1"/>
  <c r="J12" i="48" l="1"/>
  <c r="J20" i="48" s="1"/>
  <c r="O42" i="48"/>
  <c r="N42" i="48"/>
  <c r="M42" i="48"/>
  <c r="L42" i="48"/>
  <c r="K42" i="48"/>
  <c r="J42" i="48"/>
  <c r="H42" i="48"/>
  <c r="G42" i="48"/>
  <c r="F42" i="48"/>
  <c r="E42" i="48"/>
  <c r="D42" i="48"/>
  <c r="O41" i="48"/>
  <c r="I41" i="48"/>
  <c r="O40" i="48"/>
  <c r="I40" i="48"/>
  <c r="O39" i="48"/>
  <c r="I39" i="48"/>
  <c r="O38" i="48"/>
  <c r="I38" i="48"/>
  <c r="O37" i="48"/>
  <c r="I37" i="48"/>
  <c r="O36" i="48"/>
  <c r="I36" i="48"/>
  <c r="I42" i="48" s="1"/>
  <c r="N33" i="48"/>
  <c r="M33" i="48"/>
  <c r="L33" i="48"/>
  <c r="K33" i="48"/>
  <c r="J33" i="48"/>
  <c r="H33" i="48"/>
  <c r="G33" i="48"/>
  <c r="F33" i="48"/>
  <c r="F43" i="48" s="1"/>
  <c r="E33" i="48"/>
  <c r="D33" i="48"/>
  <c r="O32" i="48"/>
  <c r="I32" i="48"/>
  <c r="O31" i="48"/>
  <c r="I31" i="48"/>
  <c r="O30" i="48"/>
  <c r="I30" i="48"/>
  <c r="O29" i="48"/>
  <c r="I29" i="48"/>
  <c r="O28" i="48"/>
  <c r="I28" i="48"/>
  <c r="O27" i="48"/>
  <c r="I27" i="48"/>
  <c r="O26" i="48"/>
  <c r="I26" i="48"/>
  <c r="O25" i="48"/>
  <c r="I25" i="48"/>
  <c r="O24" i="48"/>
  <c r="I24" i="48"/>
  <c r="O23" i="48"/>
  <c r="I23" i="48"/>
  <c r="N20" i="48"/>
  <c r="N43" i="48" s="1"/>
  <c r="M20" i="48"/>
  <c r="L20" i="48"/>
  <c r="L43" i="48" s="1"/>
  <c r="K20" i="48"/>
  <c r="H20" i="48"/>
  <c r="H43" i="48" s="1"/>
  <c r="G20" i="48"/>
  <c r="G43" i="48" s="1"/>
  <c r="E20" i="48"/>
  <c r="O19" i="48"/>
  <c r="I19" i="48"/>
  <c r="O18" i="48"/>
  <c r="I18" i="48"/>
  <c r="O17" i="48"/>
  <c r="I17" i="48"/>
  <c r="O16" i="48"/>
  <c r="I16" i="48"/>
  <c r="O15" i="48"/>
  <c r="I15" i="48"/>
  <c r="O14" i="48"/>
  <c r="I14" i="48"/>
  <c r="O13" i="48"/>
  <c r="I13" i="48"/>
  <c r="O12" i="48"/>
  <c r="D20" i="48"/>
  <c r="O11" i="48"/>
  <c r="I11" i="48"/>
  <c r="O10" i="48"/>
  <c r="I10" i="48"/>
  <c r="O9" i="48"/>
  <c r="I9" i="48"/>
  <c r="P25" i="45"/>
  <c r="O25" i="45"/>
  <c r="E43" i="48" l="1"/>
  <c r="I33" i="48"/>
  <c r="D43" i="48"/>
  <c r="K43" i="48"/>
  <c r="M43" i="48"/>
  <c r="O33" i="48"/>
  <c r="J43" i="48"/>
  <c r="O20" i="48"/>
  <c r="O43" i="48"/>
  <c r="I12" i="48"/>
  <c r="I20" i="48" s="1"/>
  <c r="I43" i="48" l="1"/>
  <c r="K25" i="47" l="1"/>
  <c r="P21" i="47"/>
  <c r="F18" i="47" l="1"/>
  <c r="P18" i="47" s="1"/>
  <c r="Q18" i="47" s="1"/>
  <c r="K13" i="47"/>
  <c r="F13" i="47"/>
  <c r="AC44" i="47"/>
  <c r="AC34" i="47"/>
  <c r="AC21" i="47"/>
  <c r="X25" i="47"/>
  <c r="X13" i="47"/>
  <c r="T21" i="47"/>
  <c r="U21" i="47"/>
  <c r="V21" i="47"/>
  <c r="W21" i="47"/>
  <c r="S18" i="47"/>
  <c r="S13" i="47"/>
  <c r="AB44" i="47"/>
  <c r="AA44" i="47"/>
  <c r="Z44" i="47"/>
  <c r="Y44" i="47"/>
  <c r="X44" i="47"/>
  <c r="W44" i="47"/>
  <c r="V44" i="47"/>
  <c r="U44" i="47"/>
  <c r="S44" i="47"/>
  <c r="R44" i="47"/>
  <c r="O44" i="47"/>
  <c r="N44" i="47"/>
  <c r="M44" i="47"/>
  <c r="L44" i="47"/>
  <c r="K44" i="47"/>
  <c r="J44" i="47"/>
  <c r="I44" i="47"/>
  <c r="H44" i="47"/>
  <c r="F44" i="47"/>
  <c r="E44" i="47"/>
  <c r="P44" i="47" s="1"/>
  <c r="AC43" i="47"/>
  <c r="AD43" i="47" s="1"/>
  <c r="P43" i="47"/>
  <c r="Q43" i="47" s="1"/>
  <c r="AD42" i="47"/>
  <c r="AC42" i="47"/>
  <c r="P42" i="47"/>
  <c r="Q42" i="47" s="1"/>
  <c r="AC41" i="47"/>
  <c r="AD41" i="47" s="1"/>
  <c r="P41" i="47"/>
  <c r="Q41" i="47" s="1"/>
  <c r="AD40" i="47"/>
  <c r="AC40" i="47"/>
  <c r="P40" i="47"/>
  <c r="Q40" i="47" s="1"/>
  <c r="AC39" i="47"/>
  <c r="AD39" i="47" s="1"/>
  <c r="P39" i="47"/>
  <c r="Q39" i="47" s="1"/>
  <c r="AD38" i="47"/>
  <c r="AC38" i="47"/>
  <c r="P38" i="47"/>
  <c r="Q38" i="47" s="1"/>
  <c r="AC37" i="47"/>
  <c r="P37" i="47"/>
  <c r="Q37" i="47" s="1"/>
  <c r="AB34" i="47"/>
  <c r="AA34" i="47"/>
  <c r="Z34" i="47"/>
  <c r="Y34" i="47"/>
  <c r="X34" i="47"/>
  <c r="W34" i="47"/>
  <c r="V34" i="47"/>
  <c r="U34" i="47"/>
  <c r="S34" i="47"/>
  <c r="R34" i="47"/>
  <c r="O34" i="47"/>
  <c r="N34" i="47"/>
  <c r="M34" i="47"/>
  <c r="L34" i="47"/>
  <c r="J34" i="47"/>
  <c r="I34" i="47"/>
  <c r="H34" i="47"/>
  <c r="F34" i="47"/>
  <c r="E34" i="47"/>
  <c r="AC33" i="47"/>
  <c r="AD33" i="47" s="1"/>
  <c r="P33" i="47"/>
  <c r="Q33" i="47" s="1"/>
  <c r="AC32" i="47"/>
  <c r="AD32" i="47" s="1"/>
  <c r="P32" i="47"/>
  <c r="Q32" i="47" s="1"/>
  <c r="AD31" i="47"/>
  <c r="AC31" i="47"/>
  <c r="P31" i="47"/>
  <c r="Q31" i="47" s="1"/>
  <c r="AC30" i="47"/>
  <c r="AD30" i="47" s="1"/>
  <c r="P30" i="47"/>
  <c r="Q30" i="47" s="1"/>
  <c r="AC29" i="47"/>
  <c r="AD29" i="47" s="1"/>
  <c r="P29" i="47"/>
  <c r="Q29" i="47" s="1"/>
  <c r="AC28" i="47"/>
  <c r="AD28" i="47" s="1"/>
  <c r="P28" i="47"/>
  <c r="Q28" i="47" s="1"/>
  <c r="AC27" i="47"/>
  <c r="AD27" i="47" s="1"/>
  <c r="P27" i="47"/>
  <c r="Q27" i="47" s="1"/>
  <c r="AC26" i="47"/>
  <c r="AD26" i="47" s="1"/>
  <c r="P26" i="47"/>
  <c r="Q26" i="47" s="1"/>
  <c r="AC25" i="47"/>
  <c r="AD25" i="47" s="1"/>
  <c r="K34" i="47"/>
  <c r="AC24" i="47"/>
  <c r="P24" i="47"/>
  <c r="Q24" i="47" s="1"/>
  <c r="AB21" i="47"/>
  <c r="AA21" i="47"/>
  <c r="Z21" i="47"/>
  <c r="Y21" i="47"/>
  <c r="S21" i="47"/>
  <c r="R21" i="47"/>
  <c r="O21" i="47"/>
  <c r="N21" i="47"/>
  <c r="M21" i="47"/>
  <c r="L21" i="47"/>
  <c r="J21" i="47"/>
  <c r="I21" i="47"/>
  <c r="H21" i="47"/>
  <c r="G21" i="47"/>
  <c r="E21" i="47"/>
  <c r="AC20" i="47"/>
  <c r="AD20" i="47" s="1"/>
  <c r="P20" i="47"/>
  <c r="Q20" i="47" s="1"/>
  <c r="AC19" i="47"/>
  <c r="AD19" i="47" s="1"/>
  <c r="P19" i="47"/>
  <c r="Q19" i="47" s="1"/>
  <c r="AC18" i="47"/>
  <c r="AD18" i="47" s="1"/>
  <c r="AC17" i="47"/>
  <c r="AD17" i="47" s="1"/>
  <c r="P17" i="47"/>
  <c r="Q17" i="47" s="1"/>
  <c r="AC16" i="47"/>
  <c r="AD16" i="47" s="1"/>
  <c r="P16" i="47"/>
  <c r="Q16" i="47" s="1"/>
  <c r="AC15" i="47"/>
  <c r="AD15" i="47" s="1"/>
  <c r="P15" i="47"/>
  <c r="Q15" i="47" s="1"/>
  <c r="AC14" i="47"/>
  <c r="AD14" i="47" s="1"/>
  <c r="P14" i="47"/>
  <c r="Q14" i="47" s="1"/>
  <c r="K21" i="47"/>
  <c r="P13" i="47"/>
  <c r="AC12" i="47"/>
  <c r="AD12" i="47" s="1"/>
  <c r="P12" i="47"/>
  <c r="Q12" i="47" s="1"/>
  <c r="X21" i="47"/>
  <c r="P11" i="47"/>
  <c r="Q11" i="47" s="1"/>
  <c r="AC10" i="47"/>
  <c r="AD10" i="47" s="1"/>
  <c r="P10" i="47"/>
  <c r="Q10" i="47" s="1"/>
  <c r="K21" i="46"/>
  <c r="J21" i="46"/>
  <c r="G21" i="46"/>
  <c r="F21" i="46"/>
  <c r="L14" i="46"/>
  <c r="M14" i="46" s="1"/>
  <c r="M21" i="46" s="1"/>
  <c r="H14" i="46"/>
  <c r="H21" i="46" s="1"/>
  <c r="O17" i="45"/>
  <c r="D17" i="45"/>
  <c r="F25" i="45"/>
  <c r="D25" i="45"/>
  <c r="O17" i="34"/>
  <c r="O15" i="34"/>
  <c r="O14" i="34"/>
  <c r="R29" i="45"/>
  <c r="AC13" i="47" l="1"/>
  <c r="AD13" i="47" s="1"/>
  <c r="Q44" i="47"/>
  <c r="Q13" i="47"/>
  <c r="Q21" i="47" s="1"/>
  <c r="AD24" i="47"/>
  <c r="AD34" i="47" s="1"/>
  <c r="P25" i="47"/>
  <c r="AD37" i="47"/>
  <c r="AD44" i="47" s="1"/>
  <c r="F21" i="47"/>
  <c r="AC11" i="47"/>
  <c r="I14" i="46"/>
  <c r="I21" i="46" s="1"/>
  <c r="L21" i="46"/>
  <c r="O23" i="45"/>
  <c r="P34" i="47" l="1"/>
  <c r="Q25" i="47"/>
  <c r="Q34" i="47" s="1"/>
  <c r="AF24" i="47"/>
  <c r="AD11" i="47"/>
  <c r="AD21" i="47" s="1"/>
  <c r="O22" i="45"/>
  <c r="O21" i="45"/>
  <c r="O18" i="45"/>
  <c r="O14" i="45" l="1"/>
  <c r="N49" i="45" l="1"/>
  <c r="M49" i="45"/>
  <c r="L49" i="45"/>
  <c r="K49" i="45"/>
  <c r="J49" i="45"/>
  <c r="I49" i="45"/>
  <c r="H49" i="45"/>
  <c r="G49" i="45"/>
  <c r="D49" i="45"/>
  <c r="P48" i="45"/>
  <c r="P47" i="45"/>
  <c r="P46" i="45"/>
  <c r="P45" i="45"/>
  <c r="P44" i="45"/>
  <c r="P43" i="45"/>
  <c r="P42" i="45"/>
  <c r="F49" i="45"/>
  <c r="P41" i="45"/>
  <c r="P40" i="45"/>
  <c r="P39" i="45"/>
  <c r="O49" i="45"/>
  <c r="N25" i="45"/>
  <c r="M25" i="45"/>
  <c r="L25" i="45"/>
  <c r="K25" i="45"/>
  <c r="J25" i="45"/>
  <c r="I25" i="45"/>
  <c r="H25" i="45"/>
  <c r="G25" i="45"/>
  <c r="E25" i="45"/>
  <c r="P24" i="45"/>
  <c r="P23" i="45"/>
  <c r="P22" i="45"/>
  <c r="P21" i="45"/>
  <c r="P20" i="45"/>
  <c r="P19" i="45"/>
  <c r="P18" i="45"/>
  <c r="P17" i="45"/>
  <c r="P16" i="45"/>
  <c r="P15" i="45"/>
  <c r="P14" i="45" l="1"/>
  <c r="E49" i="45"/>
  <c r="P49" i="45" s="1"/>
  <c r="P38" i="45"/>
  <c r="P25" i="34"/>
  <c r="O25" i="34"/>
  <c r="O23" i="34" l="1"/>
  <c r="O22" i="34"/>
  <c r="O21" i="34"/>
  <c r="O18" i="34"/>
  <c r="D17" i="34"/>
  <c r="P22" i="34" l="1"/>
  <c r="G10" i="44" l="1"/>
  <c r="F10" i="44"/>
  <c r="E10" i="44"/>
  <c r="D10" i="44"/>
  <c r="H10" i="44"/>
  <c r="D16" i="43"/>
  <c r="I11" i="43"/>
  <c r="I10" i="43"/>
  <c r="J16" i="43"/>
  <c r="H16" i="43"/>
  <c r="F16" i="43"/>
  <c r="K14" i="43"/>
  <c r="I14" i="43"/>
  <c r="G14" i="43"/>
  <c r="E14" i="43"/>
  <c r="K13" i="43"/>
  <c r="I13" i="43"/>
  <c r="G13" i="43"/>
  <c r="E13" i="43"/>
  <c r="K12" i="43"/>
  <c r="I12" i="43"/>
  <c r="G12" i="43"/>
  <c r="E12" i="43"/>
  <c r="E11" i="43"/>
  <c r="K10" i="43"/>
  <c r="G10" i="43"/>
  <c r="E10" i="43"/>
  <c r="K9" i="43"/>
  <c r="K16" i="43" s="1"/>
  <c r="I9" i="43"/>
  <c r="G9" i="43"/>
  <c r="G16" i="43" s="1"/>
  <c r="E9" i="43"/>
  <c r="I10" i="44" l="1"/>
  <c r="E16" i="43"/>
  <c r="I16" i="43"/>
  <c r="O43" i="39" l="1"/>
  <c r="I82" i="42" l="1"/>
  <c r="H82" i="42"/>
  <c r="G82" i="42"/>
  <c r="F82" i="42"/>
  <c r="K67" i="42"/>
  <c r="J67" i="42"/>
  <c r="I67" i="42"/>
  <c r="H67" i="42"/>
  <c r="G67" i="42"/>
  <c r="F67" i="42"/>
  <c r="K53" i="42"/>
  <c r="J53" i="42"/>
  <c r="I53" i="42"/>
  <c r="H53" i="42"/>
  <c r="G53" i="42"/>
  <c r="F53" i="42"/>
  <c r="K38" i="42"/>
  <c r="J38" i="42"/>
  <c r="I38" i="42"/>
  <c r="H38" i="42"/>
  <c r="G38" i="42"/>
  <c r="F38" i="42"/>
  <c r="K20" i="42"/>
  <c r="J20" i="42"/>
  <c r="I20" i="42"/>
  <c r="H20" i="42"/>
  <c r="G20" i="42"/>
  <c r="F20" i="42"/>
  <c r="E33" i="39"/>
  <c r="F33" i="39"/>
  <c r="G33" i="39"/>
  <c r="H33" i="39"/>
  <c r="I32" i="39"/>
  <c r="I31" i="39"/>
  <c r="I30" i="39"/>
  <c r="I29" i="39"/>
  <c r="I28" i="39"/>
  <c r="I27" i="39"/>
  <c r="I26" i="39"/>
  <c r="I25" i="39"/>
  <c r="I24" i="39"/>
  <c r="I23" i="39"/>
  <c r="D12" i="39"/>
  <c r="F87" i="42" l="1"/>
  <c r="G87" i="42"/>
  <c r="J43" i="39"/>
  <c r="N42" i="39"/>
  <c r="M42" i="39"/>
  <c r="L42" i="39"/>
  <c r="K42" i="39"/>
  <c r="J42" i="39"/>
  <c r="O32" i="39"/>
  <c r="O31" i="39"/>
  <c r="O30" i="39"/>
  <c r="O29" i="39"/>
  <c r="O28" i="39"/>
  <c r="O27" i="39"/>
  <c r="O33" i="39" s="1"/>
  <c r="O26" i="39"/>
  <c r="O25" i="39"/>
  <c r="O24" i="39"/>
  <c r="O23" i="39"/>
  <c r="J12" i="39"/>
  <c r="I9" i="39"/>
  <c r="L43" i="39"/>
  <c r="H42" i="39"/>
  <c r="G42" i="39"/>
  <c r="F42" i="39"/>
  <c r="E42" i="39"/>
  <c r="D42" i="39"/>
  <c r="O41" i="39"/>
  <c r="I41" i="39"/>
  <c r="O40" i="39"/>
  <c r="I40" i="39"/>
  <c r="O39" i="39"/>
  <c r="I39" i="39"/>
  <c r="O38" i="39"/>
  <c r="I38" i="39"/>
  <c r="O37" i="39"/>
  <c r="I37" i="39"/>
  <c r="O36" i="39"/>
  <c r="I36" i="39"/>
  <c r="I42" i="39" s="1"/>
  <c r="N33" i="39"/>
  <c r="M33" i="39"/>
  <c r="L33" i="39"/>
  <c r="K33" i="39"/>
  <c r="J33" i="39"/>
  <c r="F43" i="39"/>
  <c r="D33" i="39"/>
  <c r="I33" i="39"/>
  <c r="N20" i="39"/>
  <c r="M20" i="39"/>
  <c r="L20" i="39"/>
  <c r="K20" i="39"/>
  <c r="J20" i="39"/>
  <c r="H20" i="39"/>
  <c r="H43" i="39" s="1"/>
  <c r="G20" i="39"/>
  <c r="G43" i="39" s="1"/>
  <c r="E20" i="39"/>
  <c r="E43" i="39" s="1"/>
  <c r="O19" i="39"/>
  <c r="I19" i="39"/>
  <c r="O18" i="39"/>
  <c r="I18" i="39"/>
  <c r="O17" i="39"/>
  <c r="I17" i="39"/>
  <c r="O16" i="39"/>
  <c r="I16" i="39"/>
  <c r="O15" i="39"/>
  <c r="I15" i="39"/>
  <c r="O14" i="39"/>
  <c r="I14" i="39"/>
  <c r="O13" i="39"/>
  <c r="I13" i="39"/>
  <c r="O12" i="39"/>
  <c r="D20" i="39"/>
  <c r="O11" i="39"/>
  <c r="I11" i="39"/>
  <c r="O10" i="39"/>
  <c r="I10" i="39"/>
  <c r="O9" i="39"/>
  <c r="P44" i="38"/>
  <c r="D43" i="39" l="1"/>
  <c r="K43" i="39"/>
  <c r="O42" i="39"/>
  <c r="M43" i="39"/>
  <c r="N43" i="39"/>
  <c r="O20" i="39"/>
  <c r="I12" i="39"/>
  <c r="I20" i="39" s="1"/>
  <c r="I43" i="39" s="1"/>
  <c r="K25" i="38" l="1"/>
  <c r="F18" i="38" l="1"/>
  <c r="K13" i="38" l="1"/>
  <c r="F13" i="38"/>
  <c r="L21" i="38"/>
  <c r="M21" i="38"/>
  <c r="N21" i="38"/>
  <c r="F21" i="38"/>
  <c r="G21" i="38"/>
  <c r="H21" i="38"/>
  <c r="I21" i="38"/>
  <c r="J21" i="38"/>
  <c r="K21" i="38"/>
  <c r="O21" i="38"/>
  <c r="Q25" i="26" l="1"/>
  <c r="Q26" i="26"/>
  <c r="Q27" i="26"/>
  <c r="Q28" i="26"/>
  <c r="Q29" i="26"/>
  <c r="Q30" i="26"/>
  <c r="Q31" i="26"/>
  <c r="Q32" i="26"/>
  <c r="Q33" i="26"/>
  <c r="Q26" i="38"/>
  <c r="Q27" i="38"/>
  <c r="Q28" i="38"/>
  <c r="Q29" i="38"/>
  <c r="Q30" i="38"/>
  <c r="P25" i="6"/>
  <c r="AB34" i="38"/>
  <c r="AA34" i="38"/>
  <c r="Z34" i="38"/>
  <c r="Y34" i="38"/>
  <c r="X34" i="38"/>
  <c r="W34" i="38"/>
  <c r="V34" i="38"/>
  <c r="U34" i="38"/>
  <c r="S34" i="38"/>
  <c r="R34" i="38"/>
  <c r="X25" i="38"/>
  <c r="AC24" i="38"/>
  <c r="AC25" i="38"/>
  <c r="AD25" i="38" s="1"/>
  <c r="AC26" i="38"/>
  <c r="AC27" i="38"/>
  <c r="AD27" i="38" s="1"/>
  <c r="AC28" i="38"/>
  <c r="AD28" i="38" s="1"/>
  <c r="AC29" i="38"/>
  <c r="AC30" i="38"/>
  <c r="AD30" i="38" s="1"/>
  <c r="AC31" i="38"/>
  <c r="AD31" i="38" s="1"/>
  <c r="AC32" i="38"/>
  <c r="AD32" i="38" s="1"/>
  <c r="AC33" i="38"/>
  <c r="AD33" i="38"/>
  <c r="AB21" i="38"/>
  <c r="AA21" i="38"/>
  <c r="Z21" i="38"/>
  <c r="Y21" i="38"/>
  <c r="X21" i="38"/>
  <c r="W21" i="38"/>
  <c r="V21" i="38"/>
  <c r="U21" i="38"/>
  <c r="R21" i="38"/>
  <c r="X13" i="38"/>
  <c r="S13" i="38"/>
  <c r="S21" i="38" s="1"/>
  <c r="X11" i="38"/>
  <c r="AC11" i="38" s="1"/>
  <c r="AD11" i="38" s="1"/>
  <c r="E21" i="38"/>
  <c r="AB44" i="38"/>
  <c r="AA44" i="38"/>
  <c r="Z44" i="38"/>
  <c r="Y44" i="38"/>
  <c r="X44" i="38"/>
  <c r="W44" i="38"/>
  <c r="V44" i="38"/>
  <c r="U44" i="38"/>
  <c r="S44" i="38"/>
  <c r="R44" i="38"/>
  <c r="O44" i="38"/>
  <c r="N44" i="38"/>
  <c r="M44" i="38"/>
  <c r="L44" i="38"/>
  <c r="K44" i="38"/>
  <c r="J44" i="38"/>
  <c r="I44" i="38"/>
  <c r="H44" i="38"/>
  <c r="F44" i="38"/>
  <c r="E44" i="38"/>
  <c r="AC43" i="38"/>
  <c r="AD43" i="38" s="1"/>
  <c r="P43" i="38"/>
  <c r="Q43" i="38" s="1"/>
  <c r="AD42" i="38"/>
  <c r="AC42" i="38"/>
  <c r="P42" i="38"/>
  <c r="Q42" i="38" s="1"/>
  <c r="AC41" i="38"/>
  <c r="AD41" i="38" s="1"/>
  <c r="P41" i="38"/>
  <c r="Q41" i="38" s="1"/>
  <c r="AD40" i="38"/>
  <c r="AC40" i="38"/>
  <c r="P40" i="38"/>
  <c r="Q40" i="38" s="1"/>
  <c r="AC39" i="38"/>
  <c r="AD39" i="38" s="1"/>
  <c r="P39" i="38"/>
  <c r="Q39" i="38" s="1"/>
  <c r="AD38" i="38"/>
  <c r="AC38" i="38"/>
  <c r="P38" i="38"/>
  <c r="Q38" i="38" s="1"/>
  <c r="AC37" i="38"/>
  <c r="AC44" i="38" s="1"/>
  <c r="P37" i="38"/>
  <c r="Q37" i="38" s="1"/>
  <c r="O34" i="38"/>
  <c r="N34" i="38"/>
  <c r="M34" i="38"/>
  <c r="L34" i="38"/>
  <c r="K34" i="38"/>
  <c r="J34" i="38"/>
  <c r="I34" i="38"/>
  <c r="H34" i="38"/>
  <c r="F34" i="38"/>
  <c r="E34" i="38"/>
  <c r="P33" i="38"/>
  <c r="Q33" i="38" s="1"/>
  <c r="P32" i="38"/>
  <c r="Q32" i="38" s="1"/>
  <c r="P31" i="38"/>
  <c r="Q31" i="38" s="1"/>
  <c r="P30" i="38"/>
  <c r="AD29" i="38"/>
  <c r="P29" i="38"/>
  <c r="P28" i="38"/>
  <c r="P27" i="38"/>
  <c r="P26" i="38"/>
  <c r="P25" i="38"/>
  <c r="Q25" i="38" s="1"/>
  <c r="P24" i="38"/>
  <c r="Q24" i="38" s="1"/>
  <c r="AC20" i="38"/>
  <c r="AD20" i="38" s="1"/>
  <c r="P20" i="38"/>
  <c r="Q20" i="38" s="1"/>
  <c r="AC19" i="38"/>
  <c r="AD19" i="38" s="1"/>
  <c r="P19" i="38"/>
  <c r="Q19" i="38" s="1"/>
  <c r="AC18" i="38"/>
  <c r="AD18" i="38" s="1"/>
  <c r="P18" i="38"/>
  <c r="Q18" i="38" s="1"/>
  <c r="AC17" i="38"/>
  <c r="AD17" i="38" s="1"/>
  <c r="P17" i="38"/>
  <c r="Q17" i="38" s="1"/>
  <c r="AC16" i="38"/>
  <c r="AD16" i="38" s="1"/>
  <c r="P16" i="38"/>
  <c r="Q16" i="38" s="1"/>
  <c r="AC15" i="38"/>
  <c r="AD15" i="38" s="1"/>
  <c r="P15" i="38"/>
  <c r="Q15" i="38" s="1"/>
  <c r="AC14" i="38"/>
  <c r="AD14" i="38" s="1"/>
  <c r="P14" i="38"/>
  <c r="Q14" i="38" s="1"/>
  <c r="AC13" i="38"/>
  <c r="AD13" i="38" s="1"/>
  <c r="P13" i="38"/>
  <c r="Q13" i="38" s="1"/>
  <c r="AC12" i="38"/>
  <c r="AD12" i="38" s="1"/>
  <c r="P12" i="38"/>
  <c r="Q12" i="38" s="1"/>
  <c r="AC10" i="38"/>
  <c r="AD10" i="38" s="1"/>
  <c r="P10" i="38"/>
  <c r="Q10" i="38" l="1"/>
  <c r="Q34" i="38"/>
  <c r="AC34" i="38"/>
  <c r="AD26" i="38"/>
  <c r="AD21" i="38"/>
  <c r="Q44" i="38"/>
  <c r="P11" i="38"/>
  <c r="P21" i="38" s="1"/>
  <c r="AD24" i="38"/>
  <c r="AD34" i="38" s="1"/>
  <c r="AD37" i="38"/>
  <c r="AD44" i="38" s="1"/>
  <c r="P34" i="38"/>
  <c r="AC21" i="38"/>
  <c r="AF24" i="38" s="1"/>
  <c r="K21" i="35"/>
  <c r="J21" i="35"/>
  <c r="G21" i="35"/>
  <c r="F21" i="35"/>
  <c r="L14" i="35"/>
  <c r="M14" i="35" s="1"/>
  <c r="M21" i="35" s="1"/>
  <c r="H14" i="35"/>
  <c r="H21" i="35" s="1"/>
  <c r="Q11" i="38" l="1"/>
  <c r="Q21" i="38" s="1"/>
  <c r="I14" i="35"/>
  <c r="I21" i="35" s="1"/>
  <c r="L21" i="35"/>
  <c r="N49" i="34" l="1"/>
  <c r="M49" i="34"/>
  <c r="L49" i="34"/>
  <c r="K49" i="34"/>
  <c r="J49" i="34"/>
  <c r="I49" i="34"/>
  <c r="H49" i="34"/>
  <c r="G49" i="34"/>
  <c r="D49" i="34"/>
  <c r="P48" i="34"/>
  <c r="P47" i="34"/>
  <c r="O47" i="34"/>
  <c r="O46" i="34"/>
  <c r="P46" i="34" s="1"/>
  <c r="O45" i="34"/>
  <c r="P45" i="34" s="1"/>
  <c r="O44" i="34"/>
  <c r="P44" i="34" s="1"/>
  <c r="P43" i="34"/>
  <c r="O43" i="34"/>
  <c r="O42" i="34"/>
  <c r="P42" i="34" s="1"/>
  <c r="O41" i="34"/>
  <c r="F41" i="34"/>
  <c r="F49" i="34" s="1"/>
  <c r="E41" i="34"/>
  <c r="E49" i="34" s="1"/>
  <c r="D41" i="34"/>
  <c r="P40" i="34"/>
  <c r="O39" i="34"/>
  <c r="P39" i="34" s="1"/>
  <c r="O38" i="34"/>
  <c r="P38" i="34" s="1"/>
  <c r="N25" i="34"/>
  <c r="M25" i="34"/>
  <c r="L25" i="34"/>
  <c r="K25" i="34"/>
  <c r="J25" i="34"/>
  <c r="I25" i="34"/>
  <c r="H25" i="34"/>
  <c r="G25" i="34"/>
  <c r="P24" i="34"/>
  <c r="P23" i="34"/>
  <c r="P21" i="34"/>
  <c r="P20" i="34"/>
  <c r="P19" i="34"/>
  <c r="P18" i="34"/>
  <c r="F25" i="34"/>
  <c r="E25" i="34"/>
  <c r="P17" i="34"/>
  <c r="P16" i="34"/>
  <c r="P15" i="34"/>
  <c r="P41" i="34" l="1"/>
  <c r="O49" i="34"/>
  <c r="P49" i="34" s="1"/>
  <c r="D25" i="34"/>
  <c r="Q26" i="34" s="1"/>
  <c r="P14" i="34"/>
  <c r="O23" i="25"/>
  <c r="O22" i="25"/>
  <c r="O21" i="25"/>
  <c r="O20" i="25"/>
  <c r="O19" i="25"/>
  <c r="O18" i="25"/>
  <c r="F17" i="25"/>
  <c r="E17" i="25"/>
  <c r="D17" i="25"/>
  <c r="O17" i="25"/>
  <c r="O15" i="25"/>
  <c r="O14" i="25"/>
  <c r="Q14" i="25" l="1"/>
  <c r="I42" i="27" l="1"/>
  <c r="I15" i="27"/>
  <c r="I16" i="27"/>
  <c r="D20" i="27"/>
  <c r="J33" i="27"/>
  <c r="X25" i="26"/>
  <c r="AC25" i="26"/>
  <c r="O11" i="6"/>
  <c r="P11" i="26"/>
  <c r="AC33" i="26"/>
  <c r="P34" i="26"/>
  <c r="AC26" i="26"/>
  <c r="AC27" i="26"/>
  <c r="AC28" i="26"/>
  <c r="AC29" i="26"/>
  <c r="AC30" i="26"/>
  <c r="AC31" i="26"/>
  <c r="AC32" i="26"/>
  <c r="AC24" i="26"/>
  <c r="AC12" i="26"/>
  <c r="AC13" i="26"/>
  <c r="AC14" i="26"/>
  <c r="AC15" i="26"/>
  <c r="AC16" i="26"/>
  <c r="AC17" i="26"/>
  <c r="AC18" i="26"/>
  <c r="AC19" i="26"/>
  <c r="AC20" i="26"/>
  <c r="AC11" i="26"/>
  <c r="Q11" i="26"/>
  <c r="AC34" i="26" l="1"/>
  <c r="R21" i="25" l="1"/>
  <c r="S22" i="25"/>
  <c r="Q17" i="25"/>
  <c r="S17" i="25" s="1"/>
  <c r="O47" i="25" l="1"/>
  <c r="O46" i="25"/>
  <c r="O45" i="25"/>
  <c r="O44" i="25"/>
  <c r="O42" i="25"/>
  <c r="O41" i="25"/>
  <c r="F41" i="25"/>
  <c r="E41" i="25"/>
  <c r="D41" i="25"/>
  <c r="O39" i="25"/>
  <c r="O38" i="25"/>
  <c r="P17" i="25" l="1"/>
  <c r="T17" i="25" s="1"/>
  <c r="F10" i="33" l="1"/>
  <c r="E10" i="33"/>
  <c r="D10" i="33"/>
  <c r="I8" i="33" l="1"/>
  <c r="H8" i="33"/>
  <c r="H10" i="33"/>
  <c r="G10" i="33"/>
  <c r="I10" i="33"/>
  <c r="K14" i="32"/>
  <c r="I14" i="32"/>
  <c r="K13" i="32"/>
  <c r="I13" i="32"/>
  <c r="K12" i="32"/>
  <c r="I12" i="32"/>
  <c r="I11" i="32"/>
  <c r="K10" i="32"/>
  <c r="I10" i="32"/>
  <c r="K9" i="32"/>
  <c r="I9" i="32"/>
  <c r="J16" i="32" l="1"/>
  <c r="H16" i="32"/>
  <c r="F16" i="32"/>
  <c r="D16" i="32"/>
  <c r="G14" i="32"/>
  <c r="E14" i="32"/>
  <c r="G13" i="32"/>
  <c r="E13" i="32"/>
  <c r="K16" i="32"/>
  <c r="G12" i="32"/>
  <c r="E12" i="32"/>
  <c r="E11" i="32"/>
  <c r="G10" i="32"/>
  <c r="E10" i="32"/>
  <c r="I16" i="32"/>
  <c r="G9" i="32"/>
  <c r="E9" i="32"/>
  <c r="K20" i="31"/>
  <c r="J20" i="31"/>
  <c r="I20" i="31"/>
  <c r="I20" i="10"/>
  <c r="J20" i="10"/>
  <c r="K20" i="10"/>
  <c r="G20" i="8"/>
  <c r="H20" i="8"/>
  <c r="H20" i="10"/>
  <c r="G20" i="10"/>
  <c r="G16" i="32" l="1"/>
  <c r="E16" i="32"/>
  <c r="I82" i="31"/>
  <c r="H82" i="31"/>
  <c r="G82" i="31"/>
  <c r="F82" i="31"/>
  <c r="K67" i="31"/>
  <c r="J67" i="31"/>
  <c r="I67" i="31"/>
  <c r="H67" i="31"/>
  <c r="G67" i="31"/>
  <c r="F67" i="31"/>
  <c r="K53" i="31"/>
  <c r="J53" i="31"/>
  <c r="I53" i="31"/>
  <c r="H53" i="31"/>
  <c r="G53" i="31"/>
  <c r="F53" i="31"/>
  <c r="K38" i="31"/>
  <c r="G87" i="31" s="1"/>
  <c r="J38" i="31"/>
  <c r="I38" i="31"/>
  <c r="H38" i="31"/>
  <c r="G38" i="31"/>
  <c r="F38" i="31"/>
  <c r="H20" i="31"/>
  <c r="G20" i="31"/>
  <c r="F20" i="31"/>
  <c r="I41" i="27"/>
  <c r="I40" i="27"/>
  <c r="I39" i="27"/>
  <c r="I38" i="27"/>
  <c r="I37" i="27"/>
  <c r="I36" i="27"/>
  <c r="I32" i="27"/>
  <c r="I31" i="27"/>
  <c r="I30" i="27"/>
  <c r="I29" i="27"/>
  <c r="I28" i="27"/>
  <c r="I27" i="27"/>
  <c r="I26" i="27"/>
  <c r="I25" i="27"/>
  <c r="I24" i="27"/>
  <c r="I23" i="27"/>
  <c r="O32" i="27"/>
  <c r="O31" i="27"/>
  <c r="O30" i="27"/>
  <c r="O29" i="27"/>
  <c r="O28" i="27"/>
  <c r="O27" i="27"/>
  <c r="O26" i="27"/>
  <c r="O25" i="27"/>
  <c r="O24" i="27"/>
  <c r="O23" i="27"/>
  <c r="D12" i="27"/>
  <c r="I12" i="27" s="1"/>
  <c r="O9" i="27"/>
  <c r="O19" i="27"/>
  <c r="O18" i="27"/>
  <c r="O17" i="27"/>
  <c r="O16" i="27"/>
  <c r="O15" i="27"/>
  <c r="O14" i="27"/>
  <c r="O13" i="27"/>
  <c r="O12" i="27"/>
  <c r="O11" i="27"/>
  <c r="O10" i="27"/>
  <c r="I19" i="27"/>
  <c r="I18" i="27"/>
  <c r="I17" i="27"/>
  <c r="I14" i="27"/>
  <c r="I13" i="27"/>
  <c r="I11" i="27"/>
  <c r="I10" i="27"/>
  <c r="I9" i="27"/>
  <c r="I9" i="9"/>
  <c r="I33" i="27" l="1"/>
  <c r="I20" i="27"/>
  <c r="F87" i="31"/>
  <c r="K25" i="26" l="1"/>
  <c r="P24" i="26" l="1"/>
  <c r="P25" i="26"/>
  <c r="P26" i="26"/>
  <c r="P27" i="26"/>
  <c r="P28" i="26"/>
  <c r="P29" i="26"/>
  <c r="P30" i="26"/>
  <c r="P31" i="26"/>
  <c r="P32" i="26"/>
  <c r="P33" i="26"/>
  <c r="P14" i="26"/>
  <c r="P20" i="26"/>
  <c r="P19" i="26"/>
  <c r="P15" i="26" l="1"/>
  <c r="Q15" i="26" s="1"/>
  <c r="P12" i="26"/>
  <c r="P10" i="26"/>
  <c r="P16" i="26"/>
  <c r="P17" i="26"/>
  <c r="P18" i="26"/>
  <c r="AD14" i="26"/>
  <c r="K13" i="26" l="1"/>
  <c r="F13" i="26"/>
  <c r="AC10" i="26"/>
  <c r="K11" i="26"/>
  <c r="P13" i="26" l="1"/>
  <c r="Z20" i="26"/>
  <c r="S18" i="26"/>
  <c r="X13" i="26"/>
  <c r="S13" i="26"/>
  <c r="X11" i="26"/>
  <c r="J21" i="28" l="1"/>
  <c r="K21" i="28"/>
  <c r="L14" i="28"/>
  <c r="M14" i="28" s="1"/>
  <c r="M21" i="28" s="1"/>
  <c r="L21" i="28" l="1"/>
  <c r="G21" i="28" l="1"/>
  <c r="F21" i="28"/>
  <c r="H14" i="28"/>
  <c r="I14" i="28" s="1"/>
  <c r="I21" i="28" s="1"/>
  <c r="H21" i="28" l="1"/>
  <c r="F25" i="25" l="1"/>
  <c r="O25" i="25"/>
  <c r="E11" i="12" l="1"/>
  <c r="E42" i="27"/>
  <c r="F42" i="27"/>
  <c r="G42" i="27"/>
  <c r="H42" i="27"/>
  <c r="I43" i="27"/>
  <c r="D42" i="27"/>
  <c r="N42" i="27"/>
  <c r="M42" i="27"/>
  <c r="L42" i="27"/>
  <c r="K42" i="27"/>
  <c r="J42" i="27"/>
  <c r="O41" i="27"/>
  <c r="O40" i="27"/>
  <c r="O39" i="27"/>
  <c r="O42" i="27" s="1"/>
  <c r="O38" i="27"/>
  <c r="O37" i="27"/>
  <c r="O36" i="27"/>
  <c r="O33" i="27"/>
  <c r="N33" i="27"/>
  <c r="M33" i="27"/>
  <c r="L33" i="27"/>
  <c r="K33" i="27"/>
  <c r="H33" i="27"/>
  <c r="G33" i="27"/>
  <c r="F33" i="27"/>
  <c r="E33" i="27"/>
  <c r="D33" i="27"/>
  <c r="N20" i="27"/>
  <c r="N43" i="27" s="1"/>
  <c r="M20" i="27"/>
  <c r="M43" i="27" s="1"/>
  <c r="L20" i="27"/>
  <c r="K20" i="27"/>
  <c r="J20" i="27"/>
  <c r="J43" i="27" s="1"/>
  <c r="H20" i="27"/>
  <c r="G20" i="27"/>
  <c r="E20" i="27"/>
  <c r="O20" i="27"/>
  <c r="F34" i="26"/>
  <c r="H34" i="26"/>
  <c r="I34" i="26"/>
  <c r="J34" i="26"/>
  <c r="K34" i="26"/>
  <c r="L34" i="26"/>
  <c r="M34" i="26"/>
  <c r="N34" i="26"/>
  <c r="O34" i="26"/>
  <c r="E34" i="26"/>
  <c r="F21" i="26"/>
  <c r="H21" i="26"/>
  <c r="I21" i="26"/>
  <c r="J21" i="26"/>
  <c r="K21" i="26"/>
  <c r="L21" i="26"/>
  <c r="M21" i="26"/>
  <c r="N21" i="26"/>
  <c r="O21" i="26"/>
  <c r="E21" i="26"/>
  <c r="Q20" i="26"/>
  <c r="Q18" i="26"/>
  <c r="AB44" i="26"/>
  <c r="AA44" i="26"/>
  <c r="Z44" i="26"/>
  <c r="Y44" i="26"/>
  <c r="X44" i="26"/>
  <c r="W44" i="26"/>
  <c r="V44" i="26"/>
  <c r="U44" i="26"/>
  <c r="S44" i="26"/>
  <c r="R44" i="26"/>
  <c r="O44" i="26"/>
  <c r="N44" i="26"/>
  <c r="M44" i="26"/>
  <c r="L44" i="26"/>
  <c r="K44" i="26"/>
  <c r="J44" i="26"/>
  <c r="I44" i="26"/>
  <c r="H44" i="26"/>
  <c r="F44" i="26"/>
  <c r="E44" i="26"/>
  <c r="AC43" i="26"/>
  <c r="AD43" i="26" s="1"/>
  <c r="P43" i="26"/>
  <c r="Q43" i="26" s="1"/>
  <c r="AD42" i="26"/>
  <c r="AC42" i="26"/>
  <c r="P42" i="26"/>
  <c r="Q42" i="26" s="1"/>
  <c r="AC41" i="26"/>
  <c r="AD41" i="26" s="1"/>
  <c r="P41" i="26"/>
  <c r="Q41" i="26" s="1"/>
  <c r="AC40" i="26"/>
  <c r="AD40" i="26" s="1"/>
  <c r="P40" i="26"/>
  <c r="Q40" i="26" s="1"/>
  <c r="AC39" i="26"/>
  <c r="AD39" i="26" s="1"/>
  <c r="P39" i="26"/>
  <c r="Q39" i="26" s="1"/>
  <c r="AC38" i="26"/>
  <c r="AD38" i="26" s="1"/>
  <c r="P38" i="26"/>
  <c r="Q38" i="26" s="1"/>
  <c r="AC37" i="26"/>
  <c r="P37" i="26"/>
  <c r="AD33" i="26"/>
  <c r="AD32" i="26"/>
  <c r="AD31" i="26"/>
  <c r="AD30" i="26"/>
  <c r="AD29" i="26"/>
  <c r="AD28" i="26"/>
  <c r="AD27" i="26"/>
  <c r="AD26" i="26"/>
  <c r="Q24" i="26"/>
  <c r="AD20" i="26"/>
  <c r="AD19" i="26"/>
  <c r="Q19" i="26"/>
  <c r="AD18" i="26"/>
  <c r="AD17" i="26"/>
  <c r="Q17" i="26"/>
  <c r="AD16" i="26"/>
  <c r="Q16" i="26"/>
  <c r="AD15" i="26"/>
  <c r="Q14" i="26"/>
  <c r="AD12" i="26"/>
  <c r="Q12" i="26"/>
  <c r="AD10" i="26"/>
  <c r="Q10" i="26"/>
  <c r="D43" i="27" l="1"/>
  <c r="E43" i="27"/>
  <c r="P44" i="26"/>
  <c r="AC44" i="26"/>
  <c r="K43" i="27"/>
  <c r="F43" i="27"/>
  <c r="G43" i="27"/>
  <c r="H43" i="27"/>
  <c r="L43" i="27"/>
  <c r="O43" i="27"/>
  <c r="AD37" i="26"/>
  <c r="AD44" i="26" s="1"/>
  <c r="Q34" i="26"/>
  <c r="Q13" i="26"/>
  <c r="AD13" i="26"/>
  <c r="AD24" i="26"/>
  <c r="AD25" i="26"/>
  <c r="Q37" i="26"/>
  <c r="Q44" i="26" s="1"/>
  <c r="AD34" i="26" l="1"/>
  <c r="Q21" i="26"/>
  <c r="P21" i="26"/>
  <c r="AD11" i="26"/>
  <c r="AD21" i="26" s="1"/>
  <c r="AC21" i="26"/>
  <c r="AF24" i="26" l="1"/>
  <c r="O49" i="25"/>
  <c r="E49" i="25"/>
  <c r="F49" i="25"/>
  <c r="G49" i="25"/>
  <c r="H49" i="25"/>
  <c r="I49" i="25"/>
  <c r="J49" i="25"/>
  <c r="K49" i="25"/>
  <c r="L49" i="25"/>
  <c r="M49" i="25"/>
  <c r="N49" i="25"/>
  <c r="D49" i="25"/>
  <c r="P39" i="25"/>
  <c r="P44" i="25"/>
  <c r="P46" i="25"/>
  <c r="P48" i="25"/>
  <c r="P47" i="25"/>
  <c r="P45" i="25"/>
  <c r="P43" i="25"/>
  <c r="P42" i="25"/>
  <c r="P40" i="25"/>
  <c r="P38" i="25"/>
  <c r="N25" i="25"/>
  <c r="M25" i="25"/>
  <c r="L25" i="25"/>
  <c r="K25" i="25"/>
  <c r="J25" i="25"/>
  <c r="I25" i="25"/>
  <c r="H25" i="25"/>
  <c r="G25" i="25"/>
  <c r="E25" i="25"/>
  <c r="P24" i="25"/>
  <c r="P23" i="25"/>
  <c r="P22" i="25"/>
  <c r="T22" i="25" s="1"/>
  <c r="T23" i="25" s="1"/>
  <c r="P21" i="25"/>
  <c r="P20" i="25"/>
  <c r="P19" i="25"/>
  <c r="P18" i="25"/>
  <c r="P16" i="25"/>
  <c r="P15" i="25"/>
  <c r="Q41" i="25" l="1"/>
  <c r="D25" i="25"/>
  <c r="P41" i="25"/>
  <c r="P14" i="25"/>
  <c r="P49" i="25"/>
  <c r="G11" i="11"/>
  <c r="P25" i="25" l="1"/>
  <c r="Q26" i="25" s="1"/>
  <c r="N49" i="24"/>
  <c r="M49" i="24"/>
  <c r="L49" i="24"/>
  <c r="K49" i="24"/>
  <c r="J49" i="24"/>
  <c r="I49" i="24"/>
  <c r="H49" i="24"/>
  <c r="G49" i="24"/>
  <c r="P48" i="24"/>
  <c r="O47" i="24"/>
  <c r="P47" i="24" s="1"/>
  <c r="O46" i="24"/>
  <c r="P46" i="24" s="1"/>
  <c r="O45" i="24"/>
  <c r="P45" i="24" s="1"/>
  <c r="O44" i="24"/>
  <c r="P44" i="24" s="1"/>
  <c r="O43" i="24"/>
  <c r="P43" i="24" s="1"/>
  <c r="O42" i="24"/>
  <c r="P42" i="24" s="1"/>
  <c r="O41" i="24"/>
  <c r="F41" i="24"/>
  <c r="E41" i="24"/>
  <c r="E49" i="24" s="1"/>
  <c r="D41" i="24"/>
  <c r="D49" i="24" s="1"/>
  <c r="P40" i="24"/>
  <c r="O39" i="24"/>
  <c r="F39" i="24"/>
  <c r="P39" i="24" s="1"/>
  <c r="O38" i="24"/>
  <c r="P38" i="24" s="1"/>
  <c r="O49" i="24" l="1"/>
  <c r="P41" i="24"/>
  <c r="F49" i="24"/>
  <c r="P49" i="24" s="1"/>
  <c r="O17" i="23" l="1"/>
  <c r="O22" i="23"/>
  <c r="O21" i="23"/>
  <c r="O15" i="23" l="1"/>
  <c r="O17" i="24" l="1"/>
  <c r="Q25" i="24" l="1"/>
  <c r="Q25" i="23"/>
  <c r="O14" i="24" l="1"/>
  <c r="O22" i="24"/>
  <c r="F17" i="24"/>
  <c r="E17" i="24"/>
  <c r="D17" i="24"/>
  <c r="O23" i="24" l="1"/>
  <c r="O21" i="24"/>
  <c r="O20" i="24"/>
  <c r="O18" i="24"/>
  <c r="O15" i="24"/>
  <c r="N25" i="24" l="1"/>
  <c r="M25" i="24"/>
  <c r="L25" i="24"/>
  <c r="K25" i="24"/>
  <c r="J25" i="24"/>
  <c r="I25" i="24"/>
  <c r="H25" i="24"/>
  <c r="G25" i="24"/>
  <c r="P24" i="24"/>
  <c r="P23" i="24"/>
  <c r="P22" i="24"/>
  <c r="P21" i="24"/>
  <c r="P20" i="24"/>
  <c r="P19" i="24"/>
  <c r="P18" i="24"/>
  <c r="E25" i="24"/>
  <c r="D25" i="24"/>
  <c r="P16" i="24"/>
  <c r="P15" i="24"/>
  <c r="O25" i="24"/>
  <c r="O23" i="23"/>
  <c r="O20" i="23"/>
  <c r="O19" i="23"/>
  <c r="O18" i="23"/>
  <c r="O14" i="23"/>
  <c r="P25" i="24" l="1"/>
  <c r="O25" i="23"/>
  <c r="P14" i="24"/>
  <c r="F25" i="24"/>
  <c r="P17" i="24"/>
  <c r="R17" i="24" s="1"/>
  <c r="R25" i="24" l="1"/>
  <c r="P16" i="23"/>
  <c r="P18" i="23"/>
  <c r="P19" i="23"/>
  <c r="P20" i="23"/>
  <c r="P21" i="23"/>
  <c r="P22" i="23"/>
  <c r="P23" i="23"/>
  <c r="P24" i="23"/>
  <c r="P14" i="23"/>
  <c r="G25" i="23"/>
  <c r="H25" i="23"/>
  <c r="I25" i="23"/>
  <c r="J25" i="23"/>
  <c r="K25" i="23"/>
  <c r="L25" i="23"/>
  <c r="M25" i="23"/>
  <c r="N25" i="23"/>
  <c r="E17" i="23"/>
  <c r="E25" i="23" s="1"/>
  <c r="D17" i="23"/>
  <c r="D25" i="23" s="1"/>
  <c r="F17" i="23"/>
  <c r="P17" i="23" l="1"/>
  <c r="F15" i="23"/>
  <c r="F25" i="23" l="1"/>
  <c r="P25" i="23" s="1"/>
  <c r="P15" i="23"/>
  <c r="G21" i="16" l="1"/>
  <c r="F21" i="16"/>
  <c r="H14" i="16"/>
  <c r="I14" i="16" s="1"/>
  <c r="I21" i="16" s="1"/>
  <c r="K21" i="16"/>
  <c r="J21" i="16"/>
  <c r="L14" i="16"/>
  <c r="M14" i="16" s="1"/>
  <c r="M21" i="16" s="1"/>
  <c r="G21" i="15"/>
  <c r="F21" i="15"/>
  <c r="I14" i="15"/>
  <c r="I21" i="15" s="1"/>
  <c r="H14" i="15"/>
  <c r="H21" i="15" s="1"/>
  <c r="H21" i="16" l="1"/>
  <c r="L21" i="16"/>
  <c r="E8" i="14"/>
  <c r="F8" i="14" s="1"/>
  <c r="G10" i="14" l="1"/>
  <c r="H8" i="14"/>
  <c r="H10" i="14" s="1"/>
  <c r="E10" i="13"/>
  <c r="F10" i="13"/>
  <c r="D10" i="13"/>
  <c r="E8" i="13"/>
  <c r="F8" i="13" s="1"/>
  <c r="I8" i="14" l="1"/>
  <c r="I10" i="14" s="1"/>
  <c r="F16" i="12" l="1"/>
  <c r="D16" i="12"/>
  <c r="G14" i="12"/>
  <c r="E14" i="12"/>
  <c r="G13" i="12"/>
  <c r="E13" i="12"/>
  <c r="G12" i="12"/>
  <c r="E12" i="12"/>
  <c r="G10" i="12"/>
  <c r="E10" i="12"/>
  <c r="G9" i="12"/>
  <c r="E9" i="12"/>
  <c r="I9" i="12"/>
  <c r="K9" i="12"/>
  <c r="I10" i="12"/>
  <c r="K10" i="12"/>
  <c r="I11" i="12"/>
  <c r="I12" i="12"/>
  <c r="K12" i="12"/>
  <c r="K16" i="12" s="1"/>
  <c r="I13" i="12"/>
  <c r="K13" i="12"/>
  <c r="I14" i="12"/>
  <c r="K14" i="12"/>
  <c r="H16" i="12"/>
  <c r="J16" i="12"/>
  <c r="D16" i="11"/>
  <c r="E10" i="11"/>
  <c r="F10" i="11" s="1"/>
  <c r="G10" i="11" s="1"/>
  <c r="E11" i="11"/>
  <c r="E12" i="11"/>
  <c r="F12" i="11" s="1"/>
  <c r="G12" i="11" s="1"/>
  <c r="E13" i="11"/>
  <c r="F13" i="11" s="1"/>
  <c r="G13" i="11" s="1"/>
  <c r="E14" i="11"/>
  <c r="F14" i="11" s="1"/>
  <c r="G14" i="11" s="1"/>
  <c r="E9" i="11"/>
  <c r="F9" i="11" s="1"/>
  <c r="G9" i="11" s="1"/>
  <c r="I82" i="10"/>
  <c r="H82" i="10"/>
  <c r="H38" i="10"/>
  <c r="G38" i="10"/>
  <c r="F38" i="10"/>
  <c r="G53" i="10"/>
  <c r="H53" i="10"/>
  <c r="I53" i="10"/>
  <c r="J53" i="10"/>
  <c r="K53" i="10"/>
  <c r="F53" i="10"/>
  <c r="G67" i="10"/>
  <c r="H67" i="10"/>
  <c r="I67" i="10"/>
  <c r="J67" i="10"/>
  <c r="K67" i="10"/>
  <c r="F67" i="10"/>
  <c r="G67" i="8"/>
  <c r="H67" i="8"/>
  <c r="F67" i="8"/>
  <c r="J38" i="10"/>
  <c r="K38" i="10"/>
  <c r="I38" i="10"/>
  <c r="F20" i="10"/>
  <c r="F16" i="11" l="1"/>
  <c r="G16" i="12"/>
  <c r="I16" i="12"/>
  <c r="E16" i="11"/>
  <c r="E16" i="12"/>
  <c r="G16" i="11"/>
  <c r="G87" i="10" l="1"/>
  <c r="G82" i="10"/>
  <c r="F87" i="10" s="1"/>
  <c r="F82" i="10"/>
  <c r="G82" i="8"/>
  <c r="F82" i="8"/>
  <c r="G38" i="8"/>
  <c r="H38" i="8"/>
  <c r="F38" i="8"/>
  <c r="F20" i="8"/>
  <c r="F87" i="8" l="1"/>
  <c r="I41" i="9"/>
  <c r="I40" i="9"/>
  <c r="I39" i="9"/>
  <c r="I38" i="9"/>
  <c r="I37" i="9"/>
  <c r="I36" i="9"/>
  <c r="I24" i="9"/>
  <c r="I25" i="9"/>
  <c r="I26" i="9"/>
  <c r="I27" i="9"/>
  <c r="I28" i="9"/>
  <c r="I29" i="9"/>
  <c r="I30" i="9"/>
  <c r="I31" i="9"/>
  <c r="I32" i="9"/>
  <c r="I23" i="9"/>
  <c r="I10" i="9"/>
  <c r="I11" i="9"/>
  <c r="I12" i="9"/>
  <c r="I13" i="9"/>
  <c r="I14" i="9"/>
  <c r="I15" i="9"/>
  <c r="I16" i="9"/>
  <c r="I17" i="9"/>
  <c r="I18" i="9"/>
  <c r="I19" i="9"/>
  <c r="D42" i="9" l="1"/>
  <c r="E42" i="9"/>
  <c r="F42" i="9"/>
  <c r="G42" i="9"/>
  <c r="H42" i="9"/>
  <c r="I42" i="9"/>
  <c r="D33" i="9"/>
  <c r="E33" i="9"/>
  <c r="F33" i="9"/>
  <c r="G33" i="9"/>
  <c r="H33" i="9"/>
  <c r="I33" i="9"/>
  <c r="D20" i="9"/>
  <c r="E20" i="9"/>
  <c r="F20" i="9"/>
  <c r="G20" i="9"/>
  <c r="H20" i="9"/>
  <c r="I20" i="9"/>
  <c r="N42" i="9"/>
  <c r="M42" i="9"/>
  <c r="L42" i="9"/>
  <c r="K42" i="9"/>
  <c r="J42" i="9"/>
  <c r="O41" i="9"/>
  <c r="O40" i="9"/>
  <c r="O39" i="9"/>
  <c r="O38" i="9"/>
  <c r="O37" i="9"/>
  <c r="O36" i="9"/>
  <c r="N33" i="9"/>
  <c r="M33" i="9"/>
  <c r="L33" i="9"/>
  <c r="K33" i="9"/>
  <c r="J33" i="9"/>
  <c r="O32" i="9"/>
  <c r="O31" i="9"/>
  <c r="O30" i="9"/>
  <c r="O29" i="9"/>
  <c r="O28" i="9"/>
  <c r="O27" i="9"/>
  <c r="O26" i="9"/>
  <c r="O25" i="9"/>
  <c r="O24" i="9"/>
  <c r="O23" i="9"/>
  <c r="N20" i="9"/>
  <c r="M20" i="9"/>
  <c r="L20" i="9"/>
  <c r="L43" i="9" s="1"/>
  <c r="K20" i="9"/>
  <c r="J20" i="9"/>
  <c r="O19" i="9"/>
  <c r="O18" i="9"/>
  <c r="O17" i="9"/>
  <c r="O16" i="9"/>
  <c r="O15" i="9"/>
  <c r="O14" i="9"/>
  <c r="O13" i="9"/>
  <c r="O12" i="9"/>
  <c r="O11" i="9"/>
  <c r="O10" i="9"/>
  <c r="O9" i="9"/>
  <c r="E42" i="7"/>
  <c r="F42" i="7"/>
  <c r="G42" i="7"/>
  <c r="H42" i="7"/>
  <c r="D42" i="7"/>
  <c r="I41" i="7"/>
  <c r="I40" i="7"/>
  <c r="I39" i="7"/>
  <c r="I38" i="7"/>
  <c r="I37" i="7"/>
  <c r="I36" i="7"/>
  <c r="E33" i="7"/>
  <c r="F33" i="7"/>
  <c r="G33" i="7"/>
  <c r="H33" i="7"/>
  <c r="D33" i="7"/>
  <c r="I24" i="7"/>
  <c r="I25" i="7"/>
  <c r="I26" i="7"/>
  <c r="I27" i="7"/>
  <c r="I28" i="7"/>
  <c r="I29" i="7"/>
  <c r="I30" i="7"/>
  <c r="I31" i="7"/>
  <c r="I32" i="7"/>
  <c r="I23" i="7"/>
  <c r="E20" i="7"/>
  <c r="F20" i="7"/>
  <c r="G20" i="7"/>
  <c r="H20" i="7"/>
  <c r="D20" i="7"/>
  <c r="I10" i="7"/>
  <c r="I11" i="7"/>
  <c r="I12" i="7"/>
  <c r="I13" i="7"/>
  <c r="I14" i="7"/>
  <c r="I15" i="7"/>
  <c r="I16" i="7"/>
  <c r="I17" i="7"/>
  <c r="I18" i="7"/>
  <c r="I19" i="7"/>
  <c r="I9" i="7"/>
  <c r="F43" i="7" l="1"/>
  <c r="G43" i="9"/>
  <c r="J43" i="9"/>
  <c r="N43" i="9"/>
  <c r="D43" i="7"/>
  <c r="I42" i="7"/>
  <c r="I20" i="7"/>
  <c r="H43" i="7"/>
  <c r="I33" i="7"/>
  <c r="E43" i="7"/>
  <c r="G43" i="7"/>
  <c r="H43" i="9"/>
  <c r="F43" i="9"/>
  <c r="E43" i="9"/>
  <c r="I43" i="9"/>
  <c r="D43" i="9"/>
  <c r="O33" i="9"/>
  <c r="O42" i="9"/>
  <c r="M43" i="9"/>
  <c r="K43" i="9"/>
  <c r="O20" i="9"/>
  <c r="O43" i="9" l="1"/>
  <c r="I43" i="7"/>
  <c r="E44" i="6"/>
  <c r="F44" i="6"/>
  <c r="G44" i="6"/>
  <c r="H44" i="6"/>
  <c r="I44" i="6"/>
  <c r="J44" i="6"/>
  <c r="K44" i="6"/>
  <c r="L44" i="6"/>
  <c r="M44" i="6"/>
  <c r="N44" i="6"/>
  <c r="E34" i="6"/>
  <c r="F34" i="6"/>
  <c r="G34" i="6"/>
  <c r="H34" i="6"/>
  <c r="I34" i="6"/>
  <c r="K34" i="6"/>
  <c r="L34" i="6"/>
  <c r="M34" i="6"/>
  <c r="N34" i="6"/>
  <c r="J31" i="6"/>
  <c r="O31" i="6" s="1"/>
  <c r="P31" i="6" s="1"/>
  <c r="J25" i="6"/>
  <c r="E21" i="6"/>
  <c r="G21" i="6"/>
  <c r="H21" i="6"/>
  <c r="I21" i="6"/>
  <c r="K21" i="6"/>
  <c r="L21" i="6"/>
  <c r="M21" i="6"/>
  <c r="N21" i="6"/>
  <c r="F18" i="6"/>
  <c r="O18" i="6" s="1"/>
  <c r="P18" i="6" s="1"/>
  <c r="J13" i="6"/>
  <c r="O13" i="6" s="1"/>
  <c r="P13" i="6" s="1"/>
  <c r="F13" i="6"/>
  <c r="J11" i="6"/>
  <c r="P11" i="6" s="1"/>
  <c r="O10" i="6"/>
  <c r="P10" i="6" s="1"/>
  <c r="O43" i="6"/>
  <c r="P43" i="6" s="1"/>
  <c r="O42" i="6"/>
  <c r="P42" i="6" s="1"/>
  <c r="O41" i="6"/>
  <c r="P41" i="6" s="1"/>
  <c r="O40" i="6"/>
  <c r="P40" i="6" s="1"/>
  <c r="O39" i="6"/>
  <c r="P39" i="6" s="1"/>
  <c r="O38" i="6"/>
  <c r="P38" i="6" s="1"/>
  <c r="O37" i="6"/>
  <c r="O33" i="6"/>
  <c r="P33" i="6" s="1"/>
  <c r="O32" i="6"/>
  <c r="P32" i="6" s="1"/>
  <c r="O30" i="6"/>
  <c r="P30" i="6" s="1"/>
  <c r="O29" i="6"/>
  <c r="P29" i="6" s="1"/>
  <c r="O28" i="6"/>
  <c r="P28" i="6" s="1"/>
  <c r="O27" i="6"/>
  <c r="P27" i="6" s="1"/>
  <c r="O26" i="6"/>
  <c r="P26" i="6" s="1"/>
  <c r="O25" i="6"/>
  <c r="O24" i="6"/>
  <c r="O20" i="6"/>
  <c r="P20" i="6" s="1"/>
  <c r="O19" i="6"/>
  <c r="P19" i="6" s="1"/>
  <c r="O17" i="6"/>
  <c r="P17" i="6" s="1"/>
  <c r="O16" i="6"/>
  <c r="P16" i="6" s="1"/>
  <c r="O15" i="6"/>
  <c r="P15" i="6" s="1"/>
  <c r="O14" i="6"/>
  <c r="P14" i="6" s="1"/>
  <c r="O12" i="6"/>
  <c r="P12" i="6" s="1"/>
  <c r="Z44" i="6"/>
  <c r="Y44" i="6"/>
  <c r="X44" i="6"/>
  <c r="W44" i="6"/>
  <c r="V44" i="6"/>
  <c r="U44" i="6"/>
  <c r="T44" i="6"/>
  <c r="S44" i="6"/>
  <c r="R44" i="6"/>
  <c r="Q44" i="6"/>
  <c r="AA43" i="6"/>
  <c r="AB43" i="6" s="1"/>
  <c r="AA42" i="6"/>
  <c r="AB42" i="6" s="1"/>
  <c r="AA41" i="6"/>
  <c r="AB41" i="6" s="1"/>
  <c r="AA40" i="6"/>
  <c r="AB40" i="6" s="1"/>
  <c r="AA39" i="6"/>
  <c r="AB39" i="6" s="1"/>
  <c r="AA38" i="6"/>
  <c r="AB38" i="6" s="1"/>
  <c r="AA37" i="6"/>
  <c r="AB37" i="6" s="1"/>
  <c r="Z34" i="6"/>
  <c r="Y34" i="6"/>
  <c r="X34" i="6"/>
  <c r="W34" i="6"/>
  <c r="U34" i="6"/>
  <c r="T34" i="6"/>
  <c r="S34" i="6"/>
  <c r="R34" i="6"/>
  <c r="Q34" i="6"/>
  <c r="AA33" i="6"/>
  <c r="AB33" i="6" s="1"/>
  <c r="AA32" i="6"/>
  <c r="AB32" i="6" s="1"/>
  <c r="AA31" i="6"/>
  <c r="AB31" i="6" s="1"/>
  <c r="AA30" i="6"/>
  <c r="AB30" i="6" s="1"/>
  <c r="AA29" i="6"/>
  <c r="AB29" i="6" s="1"/>
  <c r="AA28" i="6"/>
  <c r="AB28" i="6" s="1"/>
  <c r="AA27" i="6"/>
  <c r="AB27" i="6" s="1"/>
  <c r="AA26" i="6"/>
  <c r="AB26" i="6" s="1"/>
  <c r="V25" i="6"/>
  <c r="V34" i="6" s="1"/>
  <c r="AA24" i="6"/>
  <c r="Z21" i="6"/>
  <c r="Y21" i="6"/>
  <c r="W21" i="6"/>
  <c r="U21" i="6"/>
  <c r="T21" i="6"/>
  <c r="S21" i="6"/>
  <c r="Q21" i="6"/>
  <c r="X20" i="6"/>
  <c r="AA20" i="6" s="1"/>
  <c r="AB20" i="6" s="1"/>
  <c r="AA19" i="6"/>
  <c r="AB19" i="6" s="1"/>
  <c r="R18" i="6"/>
  <c r="AA18" i="6" s="1"/>
  <c r="AB18" i="6" s="1"/>
  <c r="AA17" i="6"/>
  <c r="AB17" i="6" s="1"/>
  <c r="AA16" i="6"/>
  <c r="AB16" i="6" s="1"/>
  <c r="AA15" i="6"/>
  <c r="AB15" i="6" s="1"/>
  <c r="AA14" i="6"/>
  <c r="AB14" i="6" s="1"/>
  <c r="V13" i="6"/>
  <c r="R13" i="6"/>
  <c r="AA12" i="6"/>
  <c r="AB12" i="6" s="1"/>
  <c r="V11" i="6"/>
  <c r="AA10" i="6"/>
  <c r="O44" i="6" l="1"/>
  <c r="J21" i="6"/>
  <c r="J34" i="6"/>
  <c r="AA13" i="6"/>
  <c r="AB13" i="6" s="1"/>
  <c r="F21" i="6"/>
  <c r="V21" i="6"/>
  <c r="AA25" i="6"/>
  <c r="AB25" i="6" s="1"/>
  <c r="O21" i="6"/>
  <c r="P37" i="6"/>
  <c r="P44" i="6" s="1"/>
  <c r="O34" i="6"/>
  <c r="P24" i="6"/>
  <c r="P34" i="6" s="1"/>
  <c r="P21" i="6"/>
  <c r="R21" i="6"/>
  <c r="AB24" i="6"/>
  <c r="AB44" i="6"/>
  <c r="X21" i="6"/>
  <c r="AA11" i="6"/>
  <c r="AB11" i="6" s="1"/>
  <c r="AA44" i="6"/>
  <c r="AB10" i="6"/>
  <c r="AB34" i="6" l="1"/>
  <c r="AA34" i="6"/>
  <c r="AB21" i="6"/>
  <c r="AA21" i="6"/>
  <c r="F44" i="3" l="1"/>
  <c r="G44" i="3"/>
  <c r="H44" i="3"/>
  <c r="I44" i="3"/>
  <c r="J44" i="3"/>
  <c r="K44" i="3"/>
  <c r="L44" i="3"/>
  <c r="M44" i="3"/>
  <c r="N44" i="3"/>
  <c r="E44" i="3"/>
  <c r="O38" i="3"/>
  <c r="P38" i="3" s="1"/>
  <c r="O39" i="3"/>
  <c r="P39" i="3" s="1"/>
  <c r="O40" i="3"/>
  <c r="P40" i="3" s="1"/>
  <c r="O41" i="3"/>
  <c r="P41" i="3" s="1"/>
  <c r="O42" i="3"/>
  <c r="P42" i="3" s="1"/>
  <c r="O43" i="3"/>
  <c r="P43" i="3" s="1"/>
  <c r="O37" i="3"/>
  <c r="P37" i="3" s="1"/>
  <c r="F34" i="3"/>
  <c r="G34" i="3"/>
  <c r="H34" i="3"/>
  <c r="I34" i="3"/>
  <c r="K34" i="3"/>
  <c r="L34" i="3"/>
  <c r="M34" i="3"/>
  <c r="N34" i="3"/>
  <c r="E34" i="3"/>
  <c r="J25" i="3"/>
  <c r="J34" i="3" s="1"/>
  <c r="O26" i="3"/>
  <c r="P26" i="3" s="1"/>
  <c r="O27" i="3"/>
  <c r="P27" i="3" s="1"/>
  <c r="O28" i="3"/>
  <c r="P28" i="3" s="1"/>
  <c r="O29" i="3"/>
  <c r="P29" i="3" s="1"/>
  <c r="O30" i="3"/>
  <c r="P30" i="3" s="1"/>
  <c r="O31" i="3"/>
  <c r="P31" i="3" s="1"/>
  <c r="O32" i="3"/>
  <c r="P32" i="3" s="1"/>
  <c r="O33" i="3"/>
  <c r="P33" i="3" s="1"/>
  <c r="O24" i="3"/>
  <c r="P24" i="3" s="1"/>
  <c r="G21" i="3"/>
  <c r="H21" i="3"/>
  <c r="I21" i="3"/>
  <c r="K21" i="3"/>
  <c r="M21" i="3"/>
  <c r="N21" i="3"/>
  <c r="E21" i="3"/>
  <c r="L20" i="3"/>
  <c r="O20" i="3" s="1"/>
  <c r="P20" i="3" s="1"/>
  <c r="F18" i="3"/>
  <c r="O18" i="3" s="1"/>
  <c r="P18" i="3" s="1"/>
  <c r="O12" i="3"/>
  <c r="P12" i="3" s="1"/>
  <c r="O14" i="3"/>
  <c r="P14" i="3" s="1"/>
  <c r="O15" i="3"/>
  <c r="P15" i="3" s="1"/>
  <c r="O16" i="3"/>
  <c r="P16" i="3" s="1"/>
  <c r="O17" i="3"/>
  <c r="P17" i="3" s="1"/>
  <c r="O19" i="3"/>
  <c r="P19" i="3" s="1"/>
  <c r="J13" i="3"/>
  <c r="F13" i="3"/>
  <c r="J11" i="3"/>
  <c r="O10" i="3"/>
  <c r="P10" i="3" s="1"/>
  <c r="J21" i="3" l="1"/>
  <c r="F21" i="3"/>
  <c r="O25" i="3"/>
  <c r="P25" i="3" s="1"/>
  <c r="P34" i="3" s="1"/>
  <c r="P44" i="3"/>
  <c r="O11" i="3"/>
  <c r="P11" i="3" s="1"/>
  <c r="O44" i="3"/>
  <c r="O13" i="3"/>
  <c r="P13" i="3" s="1"/>
  <c r="P21" i="3" s="1"/>
  <c r="L21" i="3"/>
  <c r="O34" i="3" l="1"/>
  <c r="O21" i="3"/>
</calcChain>
</file>

<file path=xl/comments1.xml><?xml version="1.0" encoding="utf-8"?>
<comments xmlns="http://schemas.openxmlformats.org/spreadsheetml/2006/main">
  <authors>
    <author>KPSMER OPR03</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D14" authorId="0">
      <text>
        <r>
          <rPr>
            <b/>
            <sz val="9"/>
            <color indexed="81"/>
            <rFont val="Tahoma"/>
            <family val="2"/>
          </rPr>
          <t>KPSMER OPR03:</t>
        </r>
        <r>
          <rPr>
            <sz val="9"/>
            <color indexed="81"/>
            <rFont val="Tahoma"/>
            <family val="2"/>
          </rPr>
          <t xml:space="preserve">
</t>
        </r>
        <r>
          <rPr>
            <b/>
            <sz val="9"/>
            <color indexed="81"/>
            <rFont val="Tahoma"/>
            <family val="2"/>
          </rPr>
          <t>FORM7 KATEGORI PORTFOLIO 10</t>
        </r>
        <r>
          <rPr>
            <sz val="9"/>
            <color indexed="81"/>
            <rFont val="Tahoma"/>
            <family val="2"/>
          </rPr>
          <t xml:space="preserve">
SESUAIKAN DGN LONG TERM RATINGS NYA LIHAT DI  PERINGKAT SURAT BERHARGA DAN LEMBAGA PEMERINGKAT</t>
        </r>
      </text>
    </comment>
    <comment ref="O14" authorId="0">
      <text>
        <r>
          <rPr>
            <b/>
            <sz val="9"/>
            <color indexed="81"/>
            <rFont val="Tahoma"/>
            <family val="2"/>
          </rPr>
          <t>KPSMER OPR03:</t>
        </r>
        <r>
          <rPr>
            <sz val="9"/>
            <color indexed="81"/>
            <rFont val="Tahoma"/>
            <family val="2"/>
          </rPr>
          <t xml:space="preserve">
 - ATMR I.A TAGIHAN KEPADA PEMERINTAH INDONESIA (BRS 14) KREDIT YG DIBERIKAN
- FORM 7, KTGRI PORTFOLIO 10 YG PERINGKAT SRT BRHRGA NYA 00, TOTALNYA MSKKAN DI TANPA PERINGKAT
- ATMR I.A TAGIHAN KEPADA PEMERINTAH INDONESIA (BRS 11) PENEMPATAN PADA BANK INDONESIA
- LSMK52, KTGORI PORTFOLIO 10
- ATMR I.C TAGIHAN KEPADA PEMERINTAH INDONESIA (BRS 45)
- ATMR I.C TAGIHAN KEPADA PEMERINTAH INDONESIA (BRS 68)</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D15" authorId="0">
      <text>
        <r>
          <rPr>
            <b/>
            <sz val="9"/>
            <color indexed="81"/>
            <rFont val="Tahoma"/>
            <family val="2"/>
          </rPr>
          <t>KPSMER OPR03:
FORM 7 PORTFOLIO 16</t>
        </r>
        <r>
          <rPr>
            <sz val="9"/>
            <color indexed="81"/>
            <rFont val="Tahoma"/>
            <family val="2"/>
          </rPr>
          <t xml:space="preserve">
SESUAIKAN DGN LONG TERM RATINGS NYA LIHAT DI  PERINGKAT SURAT BERHARGA DAN LEMBAGA PEMERINGKAT</t>
        </r>
      </text>
    </comment>
    <comment ref="F15" authorId="0">
      <text>
        <r>
          <rPr>
            <b/>
            <sz val="9"/>
            <color indexed="81"/>
            <rFont val="Tahoma"/>
            <family val="2"/>
          </rPr>
          <t>KPSMER OPR03:</t>
        </r>
        <r>
          <rPr>
            <sz val="9"/>
            <color indexed="81"/>
            <rFont val="Tahoma"/>
            <family val="2"/>
          </rPr>
          <t xml:space="preserve">
</t>
        </r>
        <r>
          <rPr>
            <b/>
            <sz val="9"/>
            <color indexed="81"/>
            <rFont val="Tahoma"/>
            <family val="2"/>
          </rPr>
          <t>FORM7 PORTFOLIO 16 SESUAIKAN DGN LONG TERM RATINGS NYA LIHAT DI  PERINGKAT SURAT BERHARGA DAN LEMBAGA PEMERINGKAT</t>
        </r>
      </text>
    </comment>
    <comment ref="O15" authorId="0">
      <text>
        <r>
          <rPr>
            <b/>
            <sz val="9"/>
            <color indexed="81"/>
            <rFont val="Tahoma"/>
            <family val="2"/>
          </rPr>
          <t>KPSMER OPR03:</t>
        </r>
        <r>
          <rPr>
            <sz val="9"/>
            <color indexed="81"/>
            <rFont val="Tahoma"/>
            <family val="2"/>
          </rPr>
          <t xml:space="preserve">
- ATMR I.A TAGIHAN KEPADA ENTITAS SEKTOR PUBLIK PORTFOLIO 16 (BRS 28) KREDIT YG DIBERIKAN
ATMR I.C TAGIHAN KEPADA ENTITAS SEKTOR PUBLIK (BRS 47)</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KPSMER OPR3:
-ATMR I.C PORTFOLIO 12 DAN 13 TAGIHAN KEPADA BANK PEMBANGUNAN MULTILATERAL DAN LEMBAGA INTERNASIONAL (BRS 15) DAN (BRS 48 KALAU ADA NILAINYA). NILAINYA AMBIL DITAGIHAN BERSIH</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D17" authorId="0">
      <text>
        <r>
          <rPr>
            <b/>
            <sz val="9"/>
            <color indexed="81"/>
            <rFont val="Tahoma"/>
            <family val="2"/>
          </rPr>
          <t>KPSMER OPR03:</t>
        </r>
        <r>
          <rPr>
            <sz val="9"/>
            <color indexed="81"/>
            <rFont val="Tahoma"/>
            <family val="2"/>
          </rPr>
          <t xml:space="preserve">
- FORM 7 PORTFOLIO 14 DAN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E17"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F17"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-FORM 5 SESUAIKAN DENGAN LONG TERM RATINGSNYA DILIHAT DARI PERINGKAT PERUSAHAAN (SANDI) DAN LEMBAGA PEMERINGKATNYA</t>
        </r>
      </text>
    </comment>
    <comment ref="O17" authorId="0">
      <text>
        <r>
          <rPr>
            <b/>
            <sz val="9"/>
            <color indexed="81"/>
            <rFont val="Tahoma"/>
            <family val="2"/>
          </rPr>
          <t>KPSMER OPR03:</t>
        </r>
        <r>
          <rPr>
            <sz val="9"/>
            <color indexed="81"/>
            <rFont val="Tahoma"/>
            <family val="2"/>
          </rPr>
          <t xml:space="preserve">
- FORM 7 PORTFOLIO 15 PERINGKAT SRT BERHARGA 00
- FORM 5 LEMBAGA PERINGKAT DAN PERINGKAT PERUSAHAAN 00
- ATMR FORM 1.A TAGIHAN KEPADA BANK JANGKA PENDEK (BRS 44) DAN TAGIHAN JANGKA PANJANG (BRS 52)
LSMK 52 TOTAL PORTFOLIO 14 DAN 15
- ATMR FORM I.C TAGIHAN KPD BANK (BRS 50) TAGIHAN JK PENDEK DAN (BRS 51) TAGIHAN JK PANJANG (KLO ADA NILAINYA)
- ATMR I.A TAGIHAN KEPADA BANK (JK PENDEK DAN JK PANJANG), TAGIHAN LAINNYA (BRS 45) DAN (BRS 53) KALAU ADA NILAINYA JG DIMASUKKAN</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O18" authorId="0">
      <text>
        <r>
          <rPr>
            <b/>
            <sz val="9"/>
            <color indexed="81"/>
            <rFont val="Tahoma"/>
            <family val="2"/>
          </rPr>
          <t>KPSMER OPR03:</t>
        </r>
        <r>
          <rPr>
            <sz val="9"/>
            <color indexed="81"/>
            <rFont val="Tahoma"/>
            <family val="2"/>
          </rPr>
          <t xml:space="preserve">
- ATMR I.A  KREDIT BERAGUN RUMAH TINGGAL, KREDIT YANG DIBERIKAN (BRS 56)
- ATMR I.C  KREDIT BERAGUN RUMAH TINGGA (BRS 52) AMBIL NILAINYA DI TAGIHAN BERSIH</t>
        </r>
      </text>
    </comment>
    <comment ref="B19" authorId="0">
      <text>
        <r>
          <rPr>
            <b/>
            <sz val="9"/>
            <color indexed="81"/>
            <rFont val="Tahoma"/>
            <family val="2"/>
          </rPr>
          <t>KPSMER OPR03:</t>
        </r>
        <r>
          <rPr>
            <sz val="9"/>
            <color indexed="81"/>
            <rFont val="Tahoma"/>
            <family val="2"/>
          </rPr>
          <t xml:space="preserve">
PORTFOLIO 42</t>
        </r>
      </text>
    </comment>
    <comment ref="O19" authorId="0">
      <text>
        <r>
          <rPr>
            <b/>
            <sz val="9"/>
            <color indexed="81"/>
            <rFont val="Tahoma"/>
            <family val="2"/>
          </rPr>
          <t>KPSMER OPR03:</t>
        </r>
        <r>
          <rPr>
            <sz val="9"/>
            <color indexed="81"/>
            <rFont val="Tahoma"/>
            <family val="2"/>
          </rPr>
          <t xml:space="preserve">
-ATMR I.A KREDIT BERAGUN PROPERTI KOMERSIAL KREDIT YANG DIBERIKAN (BRS 59) DIKURANGI CKPN (KALAU ADA)
- ATMR I.C KREDIT BERAGUN PROPERTI KOMERSIAL (BRS 53) AMBIL NILAINYA DITAGIHAN BERSIH</t>
        </r>
      </text>
    </comment>
    <comment ref="B20" authorId="0">
      <text>
        <r>
          <rPr>
            <b/>
            <sz val="9"/>
            <color indexed="81"/>
            <rFont val="Tahoma"/>
            <family val="2"/>
          </rPr>
          <t>KPSMER OPR03:</t>
        </r>
        <r>
          <rPr>
            <sz val="9"/>
            <color indexed="81"/>
            <rFont val="Tahoma"/>
            <family val="2"/>
          </rPr>
          <t xml:space="preserve">
PORTFOLIO 40</t>
        </r>
      </text>
    </comment>
    <comment ref="O20" authorId="0">
      <text>
        <r>
          <rPr>
            <b/>
            <sz val="9"/>
            <color indexed="81"/>
            <rFont val="Tahoma"/>
            <family val="2"/>
          </rPr>
          <t>KPSMER OPR03:</t>
        </r>
        <r>
          <rPr>
            <sz val="9"/>
            <color indexed="81"/>
            <rFont val="Tahoma"/>
            <family val="2"/>
          </rPr>
          <t xml:space="preserve">
- ATMR I.A KREDIT PEGAWAI/PENSIUN, KREDIT YANG DIBERIKAN (BRS 62)
- ATMR I.C KREDIT PEGAWAI PENSIUN  (BRS 54), NILAINYA AMBIL DITAGIHAN BERSIH</t>
        </r>
      </text>
    </comment>
    <comment ref="B21" authorId="0">
      <text>
        <r>
          <rPr>
            <b/>
            <sz val="9"/>
            <color indexed="81"/>
            <rFont val="Tahoma"/>
            <family val="2"/>
          </rPr>
          <t>KPSMER OPR03:</t>
        </r>
        <r>
          <rPr>
            <sz val="9"/>
            <color indexed="81"/>
            <rFont val="Tahoma"/>
            <family val="2"/>
          </rPr>
          <t xml:space="preserve">
PORTFOLIO 36 DAN 13</t>
        </r>
      </text>
    </comment>
    <comment ref="O21" authorId="0">
      <text>
        <r>
          <rPr>
            <b/>
            <sz val="9"/>
            <color indexed="81"/>
            <rFont val="Tahoma"/>
            <family val="2"/>
          </rPr>
          <t>KPSMER OPR03:</t>
        </r>
        <r>
          <rPr>
            <sz val="9"/>
            <color indexed="81"/>
            <rFont val="Tahoma"/>
            <family val="2"/>
          </rPr>
          <t xml:space="preserve">
-ATMR I.A TAGIHAN KEPADA USAHA MIKRO, USAHA KECIL DAN PORTFOLIO RITEL, KREDIT YANG DIBERIKAN (BRS 66)
- ATMR I.C TAGIHAN KEPADA USAHA MIKRO, USAHA KECIL DAN PORTFOLIO RITEL (BRS 55), NILAINYA AMBIL DITAGIHAN BERSIH</t>
        </r>
      </text>
    </comment>
    <comment ref="B22" authorId="0">
      <text>
        <r>
          <rPr>
            <b/>
            <sz val="9"/>
            <color indexed="81"/>
            <rFont val="Tahoma"/>
            <family val="2"/>
          </rPr>
          <t>KPSMER OPR03:</t>
        </r>
        <r>
          <rPr>
            <sz val="9"/>
            <color indexed="81"/>
            <rFont val="Tahoma"/>
            <family val="2"/>
          </rPr>
          <t xml:space="preserve">
PORTFOLIO 35</t>
        </r>
      </text>
    </comment>
    <comment ref="D22" authorId="0">
      <text>
        <r>
          <rPr>
            <b/>
            <sz val="9"/>
            <color indexed="81"/>
            <rFont val="Tahoma"/>
            <family val="2"/>
          </rPr>
          <t>KPSMER OPR03:</t>
        </r>
        <r>
          <rPr>
            <sz val="9"/>
            <color indexed="81"/>
            <rFont val="Tahoma"/>
            <family val="2"/>
          </rPr>
          <t xml:space="preserve">
-LSMK52 TOTAL PORTFOLIO 35</t>
        </r>
      </text>
    </comment>
    <comment ref="F22" authorId="0">
      <text>
        <r>
          <rPr>
            <b/>
            <sz val="9"/>
            <color indexed="81"/>
            <rFont val="Tahoma"/>
            <family val="2"/>
          </rPr>
          <t>KPSMER OPR03:</t>
        </r>
        <r>
          <rPr>
            <sz val="9"/>
            <color indexed="81"/>
            <rFont val="Tahoma"/>
            <family val="2"/>
          </rPr>
          <t xml:space="preserve">
-FORM 7 PORTFOLIO 35
SESUAIKAN DGN LONG TERM RATINGS NYA LIHAT DI  PERINGKAT SURAT BERHARGA DAN LEMBAGA PEMERINGKAT
</t>
        </r>
      </text>
    </comment>
    <comment ref="O22" authorId="0">
      <text>
        <r>
          <rPr>
            <b/>
            <sz val="9"/>
            <color indexed="81"/>
            <rFont val="Tahoma"/>
            <family val="2"/>
          </rPr>
          <t>KPSMER OPR03:</t>
        </r>
        <r>
          <rPr>
            <sz val="9"/>
            <color indexed="81"/>
            <rFont val="Tahoma"/>
            <family val="2"/>
          </rPr>
          <t xml:space="preserve">
- FORM 07 PORTFOLIO 35 PERINGKAT SURAT BERHARGANYA 00
- ATMR I.A TAGIHAN KEPADA KORPORASI, KREDIT YANG DIBERIKAN (BRS 73) DIKURANGI NILAI CKPN (KALAU ADA)
- ATMR I.C TAGIHAN KEPADA KORPORASI (BRS 56) NILAINYA AMBIL DITAGIHAN BERSIH</t>
        </r>
      </text>
    </comment>
    <comment ref="O23" authorId="0">
      <text>
        <r>
          <rPr>
            <b/>
            <sz val="9"/>
            <color indexed="81"/>
            <rFont val="Tahoma"/>
            <family val="2"/>
          </rPr>
          <t>KPSMER OPR03:</t>
        </r>
        <r>
          <rPr>
            <sz val="9"/>
            <color indexed="81"/>
            <rFont val="Tahoma"/>
            <family val="2"/>
          </rPr>
          <t xml:space="preserve">
-ATMR I.C TAGIHAN YANG TELAH JATUH TEMPO (BRS 24) TOTALNYA, NILAINYA AMBIL DITAGIHAN BERSIH
- ATMR I.C TAGIHAN YANG TELAH JATUH TEMPO (BRS 57) TOTALNYA, NILAINYA AMBIL DITAGIHAN BERSIH</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10.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R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comments11.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comments12.xml><?xml version="1.0" encoding="utf-8"?>
<comments xmlns="http://schemas.openxmlformats.org/spreadsheetml/2006/main">
  <authors>
    <author>KPSMER OPR25</author>
  </authors>
  <commentList>
    <comment ref="E6" authorId="0">
      <text>
        <r>
          <rPr>
            <b/>
            <sz val="9"/>
            <color indexed="81"/>
            <rFont val="Tahoma"/>
            <family val="2"/>
          </rPr>
          <t>KPSMER OPR25:</t>
        </r>
        <r>
          <rPr>
            <sz val="9"/>
            <color indexed="81"/>
            <rFont val="Tahoma"/>
            <family val="2"/>
          </rPr>
          <t xml:space="preserve">
BAGIAN YANG DIJAMIN CC</t>
        </r>
      </text>
    </comment>
    <comment ref="F6" authorId="0">
      <text>
        <r>
          <rPr>
            <b/>
            <sz val="9"/>
            <color indexed="81"/>
            <rFont val="Tahoma"/>
            <family val="2"/>
          </rPr>
          <t>KPSMER OPR25:</t>
        </r>
        <r>
          <rPr>
            <sz val="9"/>
            <color indexed="81"/>
            <rFont val="Tahoma"/>
            <family val="2"/>
          </rPr>
          <t xml:space="preserve">
BAGIAN YANG DIJAMIN (ASS BG)</t>
        </r>
      </text>
    </comment>
    <comment ref="G6" authorId="0">
      <text>
        <r>
          <rPr>
            <b/>
            <sz val="9"/>
            <color indexed="81"/>
            <rFont val="Tahoma"/>
            <family val="2"/>
          </rPr>
          <t>KPSMER OPR25:</t>
        </r>
        <r>
          <rPr>
            <sz val="9"/>
            <color indexed="81"/>
            <rFont val="Tahoma"/>
            <family val="2"/>
          </rPr>
          <t xml:space="preserve">
BAGIAN YANG DIJAMIIN ASS</t>
        </r>
      </text>
    </comment>
    <comment ref="K6" authorId="0">
      <text>
        <r>
          <rPr>
            <b/>
            <sz val="9"/>
            <color indexed="81"/>
            <rFont val="Tahoma"/>
            <family val="2"/>
          </rPr>
          <t>KPSMER OPR25:</t>
        </r>
        <r>
          <rPr>
            <sz val="9"/>
            <color indexed="81"/>
            <rFont val="Tahoma"/>
            <family val="2"/>
          </rPr>
          <t xml:space="preserve">
BAGIAN YANG DIJAMIN CC</t>
        </r>
      </text>
    </comment>
    <comment ref="L6" authorId="0">
      <text>
        <r>
          <rPr>
            <b/>
            <sz val="9"/>
            <color indexed="81"/>
            <rFont val="Tahoma"/>
            <family val="2"/>
          </rPr>
          <t>KPSMER OPR25:</t>
        </r>
        <r>
          <rPr>
            <sz val="9"/>
            <color indexed="81"/>
            <rFont val="Tahoma"/>
            <family val="2"/>
          </rPr>
          <t xml:space="preserve">
BAGIAN YANG DIJAMIN (ASS BG)</t>
        </r>
      </text>
    </comment>
    <comment ref="M6" authorId="0">
      <text>
        <r>
          <rPr>
            <b/>
            <sz val="9"/>
            <color indexed="81"/>
            <rFont val="Tahoma"/>
            <family val="2"/>
          </rPr>
          <t>KPSMER OPR25:</t>
        </r>
        <r>
          <rPr>
            <sz val="9"/>
            <color indexed="81"/>
            <rFont val="Tahoma"/>
            <family val="2"/>
          </rPr>
          <t xml:space="preserve">
BAGIAN YANG DIJAMIIN ASS</t>
        </r>
      </text>
    </comment>
    <comment ref="D43" authorId="0">
      <text>
        <r>
          <rPr>
            <b/>
            <sz val="9"/>
            <color indexed="81"/>
            <rFont val="Tahoma"/>
            <family val="2"/>
          </rPr>
          <t>KPSMER OPR25:</t>
        </r>
        <r>
          <rPr>
            <sz val="9"/>
            <color indexed="81"/>
            <rFont val="Tahoma"/>
            <family val="2"/>
          </rPr>
          <t xml:space="preserve">
TOTALNYA HARUS SAMA DENGAN FORM ATMR 1.C TAGIHAN BERSIH (BRS 30 + 60 + 78)</t>
        </r>
      </text>
    </comment>
  </commentList>
</comments>
</file>

<file path=xl/comments13.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R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AC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AC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 ref="AC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comments14.xml><?xml version="1.0" encoding="utf-8"?>
<comments xmlns="http://schemas.openxmlformats.org/spreadsheetml/2006/main">
  <authors>
    <author>KPSMER OPR25</author>
  </authors>
  <commentList>
    <comment ref="E6" authorId="0">
      <text>
        <r>
          <rPr>
            <b/>
            <sz val="9"/>
            <color indexed="81"/>
            <rFont val="Tahoma"/>
            <family val="2"/>
          </rPr>
          <t>KPSMER OPR25:</t>
        </r>
        <r>
          <rPr>
            <sz val="9"/>
            <color indexed="81"/>
            <rFont val="Tahoma"/>
            <family val="2"/>
          </rPr>
          <t xml:space="preserve">
BAGIAN YANG DIJAMIN CC</t>
        </r>
      </text>
    </comment>
    <comment ref="F6" authorId="0">
      <text>
        <r>
          <rPr>
            <b/>
            <sz val="9"/>
            <color indexed="81"/>
            <rFont val="Tahoma"/>
            <family val="2"/>
          </rPr>
          <t>KPSMER OPR25:</t>
        </r>
        <r>
          <rPr>
            <sz val="9"/>
            <color indexed="81"/>
            <rFont val="Tahoma"/>
            <family val="2"/>
          </rPr>
          <t xml:space="preserve">
BAGIAN YANG DIJAMIN (ASS BG)</t>
        </r>
      </text>
    </comment>
    <comment ref="G6" authorId="0">
      <text>
        <r>
          <rPr>
            <b/>
            <sz val="9"/>
            <color indexed="81"/>
            <rFont val="Tahoma"/>
            <family val="2"/>
          </rPr>
          <t>KPSMER OPR25:</t>
        </r>
        <r>
          <rPr>
            <sz val="9"/>
            <color indexed="81"/>
            <rFont val="Tahoma"/>
            <family val="2"/>
          </rPr>
          <t xml:space="preserve">
BAGIAN YANG DIJAMIIN ASS</t>
        </r>
      </text>
    </comment>
    <comment ref="K6" authorId="0">
      <text>
        <r>
          <rPr>
            <b/>
            <sz val="9"/>
            <color indexed="81"/>
            <rFont val="Tahoma"/>
            <family val="2"/>
          </rPr>
          <t>KPSMER OPR25:</t>
        </r>
        <r>
          <rPr>
            <sz val="9"/>
            <color indexed="81"/>
            <rFont val="Tahoma"/>
            <family val="2"/>
          </rPr>
          <t xml:space="preserve">
BAGIAN YANG DIJAMIN CC</t>
        </r>
      </text>
    </comment>
    <comment ref="L6" authorId="0">
      <text>
        <r>
          <rPr>
            <b/>
            <sz val="9"/>
            <color indexed="81"/>
            <rFont val="Tahoma"/>
            <family val="2"/>
          </rPr>
          <t>KPSMER OPR25:</t>
        </r>
        <r>
          <rPr>
            <sz val="9"/>
            <color indexed="81"/>
            <rFont val="Tahoma"/>
            <family val="2"/>
          </rPr>
          <t xml:space="preserve">
BAGIAN YANG DIJAMIN (ASS BG)</t>
        </r>
      </text>
    </comment>
    <comment ref="M6" authorId="0">
      <text>
        <r>
          <rPr>
            <b/>
            <sz val="9"/>
            <color indexed="81"/>
            <rFont val="Tahoma"/>
            <family val="2"/>
          </rPr>
          <t>KPSMER OPR25:</t>
        </r>
        <r>
          <rPr>
            <sz val="9"/>
            <color indexed="81"/>
            <rFont val="Tahoma"/>
            <family val="2"/>
          </rPr>
          <t xml:space="preserve">
BAGIAN YANG DIJAMIIN ASS</t>
        </r>
      </text>
    </comment>
    <comment ref="D9" authorId="0">
      <text>
        <r>
          <rPr>
            <b/>
            <sz val="9"/>
            <color indexed="81"/>
            <rFont val="Tahoma"/>
            <family val="2"/>
          </rPr>
          <t>KPSMER OPR25:</t>
        </r>
        <r>
          <rPr>
            <sz val="9"/>
            <color indexed="81"/>
            <rFont val="Tahoma"/>
            <family val="2"/>
          </rPr>
          <t xml:space="preserve">
</t>
        </r>
        <r>
          <rPr>
            <b/>
            <sz val="9"/>
            <color indexed="81"/>
            <rFont val="Tahoma"/>
            <family val="2"/>
          </rPr>
          <t>KOLOM C BARIS 10</t>
        </r>
      </text>
    </comment>
    <comment ref="D10" authorId="0">
      <text>
        <r>
          <rPr>
            <b/>
            <sz val="9"/>
            <color indexed="81"/>
            <rFont val="Tahoma"/>
            <family val="2"/>
          </rPr>
          <t>KPSMER OPR25:</t>
        </r>
        <r>
          <rPr>
            <sz val="9"/>
            <color indexed="81"/>
            <rFont val="Tahoma"/>
            <family val="2"/>
          </rPr>
          <t xml:space="preserve">
</t>
        </r>
        <r>
          <rPr>
            <b/>
            <sz val="9"/>
            <color indexed="81"/>
            <rFont val="Tahoma"/>
            <family val="2"/>
          </rPr>
          <t>KOLOM C BARIS 41</t>
        </r>
      </text>
    </comment>
    <comment ref="D11" authorId="0">
      <text>
        <r>
          <rPr>
            <b/>
            <sz val="9"/>
            <color indexed="81"/>
            <rFont val="Tahoma"/>
            <family val="2"/>
          </rPr>
          <t>KPSMER OPR25:</t>
        </r>
        <r>
          <rPr>
            <sz val="9"/>
            <color indexed="81"/>
            <rFont val="Tahoma"/>
            <family val="2"/>
          </rPr>
          <t xml:space="preserve">
</t>
        </r>
        <r>
          <rPr>
            <b/>
            <sz val="9"/>
            <color indexed="81"/>
            <rFont val="Tahoma"/>
            <family val="2"/>
          </rPr>
          <t>KOLOM C BARIS 58</t>
        </r>
      </text>
    </comment>
    <comment ref="D12" authorId="0">
      <text>
        <r>
          <rPr>
            <b/>
            <sz val="9"/>
            <color indexed="81"/>
            <rFont val="Tahoma"/>
            <family val="2"/>
          </rPr>
          <t>KPSMER OPR25:</t>
        </r>
        <r>
          <rPr>
            <sz val="9"/>
            <color indexed="81"/>
            <rFont val="Tahoma"/>
            <family val="2"/>
          </rPr>
          <t xml:space="preserve">
</t>
        </r>
        <r>
          <rPr>
            <b/>
            <sz val="9"/>
            <color indexed="81"/>
            <rFont val="Tahoma"/>
            <family val="2"/>
          </rPr>
          <t>KOLOM C BARIS 76 + KOLOM C BARIS 96</t>
        </r>
      </text>
    </comment>
    <comment ref="D13" authorId="0">
      <text>
        <r>
          <rPr>
            <b/>
            <sz val="9"/>
            <color indexed="81"/>
            <rFont val="Tahoma"/>
            <family val="2"/>
          </rPr>
          <t>KPSMER OPR25:</t>
        </r>
        <r>
          <rPr>
            <sz val="9"/>
            <color indexed="81"/>
            <rFont val="Tahoma"/>
            <family val="2"/>
          </rPr>
          <t xml:space="preserve">
</t>
        </r>
        <r>
          <rPr>
            <b/>
            <sz val="9"/>
            <color indexed="81"/>
            <rFont val="Tahoma"/>
            <family val="2"/>
          </rPr>
          <t>KOLOM C BARIS 117</t>
        </r>
      </text>
    </comment>
    <comment ref="D14" authorId="0">
      <text>
        <r>
          <rPr>
            <b/>
            <sz val="9"/>
            <color indexed="81"/>
            <rFont val="Tahoma"/>
            <family val="2"/>
          </rPr>
          <t>KPSMER OPR25:</t>
        </r>
        <r>
          <rPr>
            <sz val="9"/>
            <color indexed="81"/>
            <rFont val="Tahoma"/>
            <family val="2"/>
          </rPr>
          <t xml:space="preserve">
</t>
        </r>
        <r>
          <rPr>
            <b/>
            <sz val="9"/>
            <color indexed="81"/>
            <rFont val="Tahoma"/>
            <family val="2"/>
          </rPr>
          <t>KOLOM C BARIS 132</t>
        </r>
        <r>
          <rPr>
            <sz val="9"/>
            <color indexed="81"/>
            <rFont val="Tahoma"/>
            <family val="2"/>
          </rPr>
          <t xml:space="preserve">
</t>
        </r>
      </text>
    </comment>
    <comment ref="D15" authorId="0">
      <text>
        <r>
          <rPr>
            <b/>
            <sz val="9"/>
            <color indexed="81"/>
            <rFont val="Tahoma"/>
            <family val="2"/>
          </rPr>
          <t>KPSMER OPR25:</t>
        </r>
        <r>
          <rPr>
            <sz val="9"/>
            <color indexed="81"/>
            <rFont val="Tahoma"/>
            <family val="2"/>
          </rPr>
          <t xml:space="preserve">
</t>
        </r>
        <r>
          <rPr>
            <b/>
            <sz val="9"/>
            <color indexed="81"/>
            <rFont val="Tahoma"/>
            <family val="2"/>
          </rPr>
          <t>KOLOM C BARIS 145</t>
        </r>
      </text>
    </comment>
    <comment ref="E15" authorId="0">
      <text>
        <r>
          <rPr>
            <b/>
            <sz val="9"/>
            <color indexed="81"/>
            <rFont val="Tahoma"/>
            <family val="2"/>
          </rPr>
          <t>KPSMER OPR25:</t>
        </r>
        <r>
          <rPr>
            <sz val="9"/>
            <color indexed="81"/>
            <rFont val="Tahoma"/>
            <family val="2"/>
          </rPr>
          <t xml:space="preserve">
</t>
        </r>
        <r>
          <rPr>
            <b/>
            <sz val="9"/>
            <color indexed="81"/>
            <rFont val="Tahoma"/>
            <family val="2"/>
          </rPr>
          <t>KOLOM I BARIS 150</t>
        </r>
      </text>
    </comment>
    <comment ref="D16" authorId="0">
      <text>
        <r>
          <rPr>
            <b/>
            <sz val="9"/>
            <color indexed="81"/>
            <rFont val="Tahoma"/>
            <family val="2"/>
          </rPr>
          <t>KPSMER OPR25:</t>
        </r>
        <r>
          <rPr>
            <sz val="9"/>
            <color indexed="81"/>
            <rFont val="Tahoma"/>
            <family val="2"/>
          </rPr>
          <t xml:space="preserve">
</t>
        </r>
        <r>
          <rPr>
            <b/>
            <sz val="9"/>
            <color indexed="81"/>
            <rFont val="Tahoma"/>
            <family val="2"/>
          </rPr>
          <t>KOLOM C BARIS 158</t>
        </r>
      </text>
    </comment>
    <comment ref="E16" authorId="0">
      <text>
        <r>
          <rPr>
            <b/>
            <sz val="9"/>
            <color indexed="81"/>
            <rFont val="Tahoma"/>
            <family val="2"/>
          </rPr>
          <t>KPSMER OPR25:</t>
        </r>
        <r>
          <rPr>
            <sz val="9"/>
            <color indexed="81"/>
            <rFont val="Tahoma"/>
            <family val="2"/>
          </rPr>
          <t xml:space="preserve">
</t>
        </r>
        <r>
          <rPr>
            <b/>
            <sz val="9"/>
            <color indexed="81"/>
            <rFont val="Tahoma"/>
            <family val="2"/>
          </rPr>
          <t>KOLOM I BARIS 163</t>
        </r>
        <r>
          <rPr>
            <sz val="9"/>
            <color indexed="81"/>
            <rFont val="Tahoma"/>
            <family val="2"/>
          </rPr>
          <t xml:space="preserve">
</t>
        </r>
      </text>
    </comment>
    <comment ref="G16" authorId="0">
      <text>
        <r>
          <rPr>
            <b/>
            <sz val="9"/>
            <color indexed="81"/>
            <rFont val="Tahoma"/>
            <family val="2"/>
          </rPr>
          <t>KPSMER OPR25:</t>
        </r>
        <r>
          <rPr>
            <sz val="9"/>
            <color indexed="81"/>
            <rFont val="Tahoma"/>
            <family val="2"/>
          </rPr>
          <t xml:space="preserve">
</t>
        </r>
        <r>
          <rPr>
            <b/>
            <sz val="9"/>
            <color indexed="81"/>
            <rFont val="Tahoma"/>
            <family val="2"/>
          </rPr>
          <t>KOLOM J BARIS 163</t>
        </r>
      </text>
    </comment>
    <comment ref="D17" authorId="0">
      <text>
        <r>
          <rPr>
            <b/>
            <sz val="9"/>
            <color indexed="81"/>
            <rFont val="Tahoma"/>
            <family val="2"/>
          </rPr>
          <t>KPSMER OPR25:</t>
        </r>
        <r>
          <rPr>
            <sz val="9"/>
            <color indexed="81"/>
            <rFont val="Tahoma"/>
            <family val="2"/>
          </rPr>
          <t xml:space="preserve">
</t>
        </r>
        <r>
          <rPr>
            <b/>
            <sz val="9"/>
            <color indexed="81"/>
            <rFont val="Tahoma"/>
            <family val="2"/>
          </rPr>
          <t>KOLOM C BARIS 171</t>
        </r>
      </text>
    </comment>
    <comment ref="E17" authorId="0">
      <text>
        <r>
          <rPr>
            <b/>
            <sz val="9"/>
            <color indexed="81"/>
            <rFont val="Tahoma"/>
            <family val="2"/>
          </rPr>
          <t>KPSMER OPR25:</t>
        </r>
        <r>
          <rPr>
            <sz val="9"/>
            <color indexed="81"/>
            <rFont val="Tahoma"/>
            <family val="2"/>
          </rPr>
          <t xml:space="preserve">
</t>
        </r>
        <r>
          <rPr>
            <b/>
            <sz val="9"/>
            <color indexed="81"/>
            <rFont val="Tahoma"/>
            <family val="2"/>
          </rPr>
          <t>KOLOM I BARIS 184</t>
        </r>
      </text>
    </comment>
    <comment ref="G17" authorId="0">
      <text>
        <r>
          <rPr>
            <b/>
            <sz val="9"/>
            <color indexed="81"/>
            <rFont val="Tahoma"/>
            <family val="2"/>
          </rPr>
          <t>KPSMER OPR25:</t>
        </r>
        <r>
          <rPr>
            <sz val="9"/>
            <color indexed="81"/>
            <rFont val="Tahoma"/>
            <family val="2"/>
          </rPr>
          <t xml:space="preserve">
</t>
        </r>
        <r>
          <rPr>
            <b/>
            <sz val="9"/>
            <color indexed="81"/>
            <rFont val="Tahoma"/>
            <family val="2"/>
          </rPr>
          <t>KOLOM J BARIS 184</t>
        </r>
      </text>
    </comment>
    <comment ref="D18" authorId="0">
      <text>
        <r>
          <rPr>
            <b/>
            <sz val="9"/>
            <color indexed="81"/>
            <rFont val="Tahoma"/>
            <family val="2"/>
          </rPr>
          <t>KPSMER OPR25:</t>
        </r>
        <r>
          <rPr>
            <sz val="9"/>
            <color indexed="81"/>
            <rFont val="Tahoma"/>
            <family val="2"/>
          </rPr>
          <t xml:space="preserve">
</t>
        </r>
        <r>
          <rPr>
            <b/>
            <sz val="9"/>
            <color indexed="81"/>
            <rFont val="Tahoma"/>
            <family val="2"/>
          </rPr>
          <t>KOLOM C BARIS 192</t>
        </r>
      </text>
    </comment>
    <comment ref="E18" authorId="0">
      <text>
        <r>
          <rPr>
            <b/>
            <sz val="9"/>
            <color indexed="81"/>
            <rFont val="Tahoma"/>
            <family val="2"/>
          </rPr>
          <t>KPSMER OPR25:</t>
        </r>
        <r>
          <rPr>
            <sz val="9"/>
            <color indexed="81"/>
            <rFont val="Tahoma"/>
            <family val="2"/>
          </rPr>
          <t xml:space="preserve">
KOLOM I BARIS 198</t>
        </r>
      </text>
    </comment>
    <comment ref="D19" authorId="0">
      <text>
        <r>
          <rPr>
            <b/>
            <sz val="9"/>
            <color indexed="81"/>
            <rFont val="Tahoma"/>
            <family val="2"/>
          </rPr>
          <t>KPSMER OPR25:</t>
        </r>
        <r>
          <rPr>
            <sz val="9"/>
            <color indexed="81"/>
            <rFont val="Tahoma"/>
            <family val="2"/>
          </rPr>
          <t xml:space="preserve">
</t>
        </r>
        <r>
          <rPr>
            <b/>
            <sz val="9"/>
            <color indexed="81"/>
            <rFont val="Tahoma"/>
            <family val="2"/>
          </rPr>
          <t>FORM ATMR KREDIT 1.A KOLOM H BARIS 86</t>
        </r>
      </text>
    </comment>
    <comment ref="D23" authorId="0">
      <text>
        <r>
          <rPr>
            <b/>
            <sz val="9"/>
            <color indexed="81"/>
            <rFont val="Tahoma"/>
            <family val="2"/>
          </rPr>
          <t>KPSMER OPR25:</t>
        </r>
        <r>
          <rPr>
            <sz val="9"/>
            <color indexed="81"/>
            <rFont val="Tahoma"/>
            <family val="2"/>
          </rPr>
          <t xml:space="preserve">
</t>
        </r>
        <r>
          <rPr>
            <b/>
            <sz val="9"/>
            <color indexed="81"/>
            <rFont val="Tahoma"/>
            <family val="2"/>
          </rPr>
          <t>KOLOM E BARIS 224</t>
        </r>
      </text>
    </comment>
    <comment ref="D24" authorId="0">
      <text>
        <r>
          <rPr>
            <b/>
            <sz val="9"/>
            <color indexed="81"/>
            <rFont val="Tahoma"/>
            <family val="2"/>
          </rPr>
          <t>KPSMER OPR25:</t>
        </r>
        <r>
          <rPr>
            <sz val="9"/>
            <color indexed="81"/>
            <rFont val="Tahoma"/>
            <family val="2"/>
          </rPr>
          <t xml:space="preserve">
</t>
        </r>
        <r>
          <rPr>
            <b/>
            <sz val="9"/>
            <color indexed="81"/>
            <rFont val="Tahoma"/>
            <family val="2"/>
          </rPr>
          <t>KOLOM E BARIS 283</t>
        </r>
      </text>
    </comment>
    <comment ref="F24" authorId="0">
      <text>
        <r>
          <rPr>
            <b/>
            <sz val="9"/>
            <color indexed="81"/>
            <rFont val="Tahoma"/>
            <family val="2"/>
          </rPr>
          <t>KPSMER OPR25:</t>
        </r>
        <r>
          <rPr>
            <sz val="9"/>
            <color indexed="81"/>
            <rFont val="Tahoma"/>
            <family val="2"/>
          </rPr>
          <t xml:space="preserve">
</t>
        </r>
        <r>
          <rPr>
            <b/>
            <sz val="9"/>
            <color indexed="81"/>
            <rFont val="Tahoma"/>
            <family val="2"/>
          </rPr>
          <t>KOLOM K BARIS 283</t>
        </r>
      </text>
    </comment>
    <comment ref="D30" authorId="0">
      <text>
        <r>
          <rPr>
            <b/>
            <sz val="9"/>
            <color indexed="81"/>
            <rFont val="Tahoma"/>
            <family val="2"/>
          </rPr>
          <t>KPSMER OPR25:</t>
        </r>
        <r>
          <rPr>
            <sz val="9"/>
            <color indexed="81"/>
            <rFont val="Tahoma"/>
            <family val="2"/>
          </rPr>
          <t xml:space="preserve">
</t>
        </r>
        <r>
          <rPr>
            <b/>
            <sz val="9"/>
            <color indexed="81"/>
            <rFont val="Tahoma"/>
            <family val="2"/>
          </rPr>
          <t>KOLOM E BARIS 466</t>
        </r>
      </text>
    </comment>
    <comment ref="E30" authorId="0">
      <text>
        <r>
          <rPr>
            <b/>
            <sz val="9"/>
            <color indexed="81"/>
            <rFont val="Tahoma"/>
            <family val="2"/>
          </rPr>
          <t>KPSMER OPR25:</t>
        </r>
        <r>
          <rPr>
            <sz val="9"/>
            <color indexed="81"/>
            <rFont val="Tahoma"/>
            <family val="2"/>
          </rPr>
          <t xml:space="preserve">
</t>
        </r>
        <r>
          <rPr>
            <b/>
            <sz val="9"/>
            <color indexed="81"/>
            <rFont val="Tahoma"/>
            <family val="2"/>
          </rPr>
          <t>KOLOM I BARIS 466</t>
        </r>
        <r>
          <rPr>
            <sz val="9"/>
            <color indexed="81"/>
            <rFont val="Tahoma"/>
            <family val="2"/>
          </rPr>
          <t xml:space="preserve">
</t>
        </r>
      </text>
    </comment>
    <comment ref="F30" authorId="0">
      <text>
        <r>
          <rPr>
            <b/>
            <sz val="9"/>
            <color indexed="81"/>
            <rFont val="Tahoma"/>
            <family val="2"/>
          </rPr>
          <t>KPSMER OPR25:</t>
        </r>
        <r>
          <rPr>
            <sz val="9"/>
            <color indexed="81"/>
            <rFont val="Tahoma"/>
            <family val="2"/>
          </rPr>
          <t xml:space="preserve">
</t>
        </r>
        <r>
          <rPr>
            <b/>
            <sz val="9"/>
            <color indexed="81"/>
            <rFont val="Tahoma"/>
            <family val="2"/>
          </rPr>
          <t>KOLOM K BARIS 466</t>
        </r>
      </text>
    </comment>
    <comment ref="D31" authorId="0">
      <text>
        <r>
          <rPr>
            <b/>
            <sz val="9"/>
            <color indexed="81"/>
            <rFont val="Tahoma"/>
            <family val="2"/>
          </rPr>
          <t>KPSMER OPR25:</t>
        </r>
        <r>
          <rPr>
            <sz val="9"/>
            <color indexed="81"/>
            <rFont val="Tahoma"/>
            <family val="2"/>
          </rPr>
          <t xml:space="preserve">
</t>
        </r>
        <r>
          <rPr>
            <b/>
            <sz val="9"/>
            <color indexed="81"/>
            <rFont val="Tahoma"/>
            <family val="2"/>
          </rPr>
          <t>KOLOM E BARIS 499</t>
        </r>
      </text>
    </comment>
    <comment ref="E31" authorId="0">
      <text>
        <r>
          <rPr>
            <b/>
            <sz val="9"/>
            <color indexed="81"/>
            <rFont val="Tahoma"/>
            <family val="2"/>
          </rPr>
          <t>KPSMER OPR25:</t>
        </r>
        <r>
          <rPr>
            <sz val="9"/>
            <color indexed="81"/>
            <rFont val="Tahoma"/>
            <family val="2"/>
          </rPr>
          <t xml:space="preserve">
</t>
        </r>
        <r>
          <rPr>
            <b/>
            <sz val="9"/>
            <color indexed="81"/>
            <rFont val="Tahoma"/>
            <family val="2"/>
          </rPr>
          <t>KOLOM I BARIS 499</t>
        </r>
      </text>
    </comment>
    <comment ref="F31" authorId="0">
      <text>
        <r>
          <rPr>
            <b/>
            <sz val="9"/>
            <color indexed="81"/>
            <rFont val="Tahoma"/>
            <family val="2"/>
          </rPr>
          <t>KPSMER OPR25:</t>
        </r>
        <r>
          <rPr>
            <sz val="9"/>
            <color indexed="81"/>
            <rFont val="Tahoma"/>
            <family val="2"/>
          </rPr>
          <t xml:space="preserve">
</t>
        </r>
        <r>
          <rPr>
            <b/>
            <sz val="9"/>
            <color indexed="81"/>
            <rFont val="Tahoma"/>
            <family val="2"/>
          </rPr>
          <t>KOLOM K BARIS 499</t>
        </r>
      </text>
    </comment>
    <comment ref="D32" authorId="0">
      <text>
        <r>
          <rPr>
            <b/>
            <sz val="9"/>
            <color indexed="81"/>
            <rFont val="Tahoma"/>
            <family val="2"/>
          </rPr>
          <t>KPSMER OPR25:</t>
        </r>
        <r>
          <rPr>
            <sz val="9"/>
            <color indexed="81"/>
            <rFont val="Tahoma"/>
            <family val="2"/>
          </rPr>
          <t xml:space="preserve">
</t>
        </r>
        <r>
          <rPr>
            <b/>
            <sz val="9"/>
            <color indexed="81"/>
            <rFont val="Tahoma"/>
            <family val="2"/>
          </rPr>
          <t>KOLOM E BARIS 522</t>
        </r>
      </text>
    </comment>
    <comment ref="D36" authorId="0">
      <text>
        <r>
          <rPr>
            <b/>
            <sz val="9"/>
            <color indexed="81"/>
            <rFont val="Tahoma"/>
            <family val="2"/>
          </rPr>
          <t>KPSMER OPR25:</t>
        </r>
        <r>
          <rPr>
            <sz val="9"/>
            <color indexed="81"/>
            <rFont val="Tahoma"/>
            <family val="2"/>
          </rPr>
          <t xml:space="preserve">
</t>
        </r>
        <r>
          <rPr>
            <b/>
            <sz val="9"/>
            <color indexed="81"/>
            <rFont val="Tahoma"/>
            <family val="2"/>
          </rPr>
          <t>KOLOM E BARIS 542</t>
        </r>
      </text>
    </comment>
    <comment ref="D43" authorId="0">
      <text>
        <r>
          <rPr>
            <b/>
            <sz val="9"/>
            <color indexed="81"/>
            <rFont val="Tahoma"/>
            <family val="2"/>
          </rPr>
          <t>KPSMER OPR25:</t>
        </r>
        <r>
          <rPr>
            <sz val="9"/>
            <color indexed="81"/>
            <rFont val="Tahoma"/>
            <family val="2"/>
          </rPr>
          <t xml:space="preserve">
TOTALNYA HARUS SAMA DENGAN FORM ATMR 1.C TAGIHAN BERSIH (BRS 37 + BRS 60 + BRS 78)</t>
        </r>
      </text>
    </comment>
  </commentList>
</comments>
</file>

<file path=xl/comments15.xml><?xml version="1.0" encoding="utf-8"?>
<comments xmlns="http://schemas.openxmlformats.org/spreadsheetml/2006/main">
  <authors>
    <author>KPSMER OPR25</author>
  </authors>
  <commentList>
    <comment ref="E6" authorId="0">
      <text>
        <r>
          <rPr>
            <b/>
            <sz val="9"/>
            <color indexed="81"/>
            <rFont val="Tahoma"/>
            <family val="2"/>
          </rPr>
          <t>KPSMER OPR25:</t>
        </r>
        <r>
          <rPr>
            <sz val="9"/>
            <color indexed="81"/>
            <rFont val="Tahoma"/>
            <family val="2"/>
          </rPr>
          <t xml:space="preserve">
BAGIAN YANG DIJAMIN CC</t>
        </r>
      </text>
    </comment>
    <comment ref="F6" authorId="0">
      <text>
        <r>
          <rPr>
            <b/>
            <sz val="9"/>
            <color indexed="81"/>
            <rFont val="Tahoma"/>
            <family val="2"/>
          </rPr>
          <t>KPSMER OPR25:</t>
        </r>
        <r>
          <rPr>
            <sz val="9"/>
            <color indexed="81"/>
            <rFont val="Tahoma"/>
            <family val="2"/>
          </rPr>
          <t xml:space="preserve">
BAGIAN YANG DIJAMIN (ASS BG)</t>
        </r>
      </text>
    </comment>
    <comment ref="G6" authorId="0">
      <text>
        <r>
          <rPr>
            <b/>
            <sz val="9"/>
            <color indexed="81"/>
            <rFont val="Tahoma"/>
            <family val="2"/>
          </rPr>
          <t>KPSMER OPR25:</t>
        </r>
        <r>
          <rPr>
            <sz val="9"/>
            <color indexed="81"/>
            <rFont val="Tahoma"/>
            <family val="2"/>
          </rPr>
          <t xml:space="preserve">
BAGIAN YANG DIJAMIIN ASS</t>
        </r>
      </text>
    </comment>
    <comment ref="K6" authorId="0">
      <text>
        <r>
          <rPr>
            <b/>
            <sz val="9"/>
            <color indexed="81"/>
            <rFont val="Tahoma"/>
            <family val="2"/>
          </rPr>
          <t>KPSMER OPR25:</t>
        </r>
        <r>
          <rPr>
            <sz val="9"/>
            <color indexed="81"/>
            <rFont val="Tahoma"/>
            <family val="2"/>
          </rPr>
          <t xml:space="preserve">
BAGIAN YANG DIJAMIN CC</t>
        </r>
      </text>
    </comment>
    <comment ref="L6" authorId="0">
      <text>
        <r>
          <rPr>
            <b/>
            <sz val="9"/>
            <color indexed="81"/>
            <rFont val="Tahoma"/>
            <family val="2"/>
          </rPr>
          <t>KPSMER OPR25:</t>
        </r>
        <r>
          <rPr>
            <sz val="9"/>
            <color indexed="81"/>
            <rFont val="Tahoma"/>
            <family val="2"/>
          </rPr>
          <t xml:space="preserve">
BAGIAN YANG DIJAMIN (ASS BG)</t>
        </r>
      </text>
    </comment>
    <comment ref="M6" authorId="0">
      <text>
        <r>
          <rPr>
            <b/>
            <sz val="9"/>
            <color indexed="81"/>
            <rFont val="Tahoma"/>
            <family val="2"/>
          </rPr>
          <t>KPSMER OPR25:</t>
        </r>
        <r>
          <rPr>
            <sz val="9"/>
            <color indexed="81"/>
            <rFont val="Tahoma"/>
            <family val="2"/>
          </rPr>
          <t xml:space="preserve">
BAGIAN YANG DIJAMIIN ASS</t>
        </r>
      </text>
    </comment>
    <comment ref="D9" authorId="0">
      <text>
        <r>
          <rPr>
            <b/>
            <sz val="9"/>
            <color indexed="81"/>
            <rFont val="Tahoma"/>
            <family val="2"/>
          </rPr>
          <t>KPSMER OPR25:</t>
        </r>
        <r>
          <rPr>
            <sz val="9"/>
            <color indexed="81"/>
            <rFont val="Tahoma"/>
            <family val="2"/>
          </rPr>
          <t xml:space="preserve">
</t>
        </r>
        <r>
          <rPr>
            <b/>
            <sz val="9"/>
            <color indexed="81"/>
            <rFont val="Tahoma"/>
            <family val="2"/>
          </rPr>
          <t>KOLOM C BARIS 10</t>
        </r>
      </text>
    </comment>
    <comment ref="J9" authorId="0">
      <text>
        <r>
          <rPr>
            <b/>
            <sz val="9"/>
            <color indexed="81"/>
            <rFont val="Tahoma"/>
            <family val="2"/>
          </rPr>
          <t>KPSMER OPR25:</t>
        </r>
        <r>
          <rPr>
            <sz val="9"/>
            <color indexed="81"/>
            <rFont val="Tahoma"/>
            <family val="2"/>
          </rPr>
          <t xml:space="preserve">
</t>
        </r>
        <r>
          <rPr>
            <b/>
            <sz val="9"/>
            <color indexed="81"/>
            <rFont val="Tahoma"/>
            <family val="2"/>
          </rPr>
          <t>KOLOM C BARIS 10</t>
        </r>
      </text>
    </comment>
    <comment ref="D10" authorId="0">
      <text>
        <r>
          <rPr>
            <b/>
            <sz val="9"/>
            <color indexed="81"/>
            <rFont val="Tahoma"/>
            <family val="2"/>
          </rPr>
          <t>KPSMER OPR25:</t>
        </r>
        <r>
          <rPr>
            <sz val="9"/>
            <color indexed="81"/>
            <rFont val="Tahoma"/>
            <family val="2"/>
          </rPr>
          <t xml:space="preserve">
</t>
        </r>
        <r>
          <rPr>
            <b/>
            <sz val="9"/>
            <color indexed="81"/>
            <rFont val="Tahoma"/>
            <family val="2"/>
          </rPr>
          <t>KOLOM C BARIS 41</t>
        </r>
      </text>
    </comment>
    <comment ref="J10" authorId="0">
      <text>
        <r>
          <rPr>
            <b/>
            <sz val="9"/>
            <color indexed="81"/>
            <rFont val="Tahoma"/>
            <family val="2"/>
          </rPr>
          <t>KPSMER OPR25:</t>
        </r>
        <r>
          <rPr>
            <sz val="9"/>
            <color indexed="81"/>
            <rFont val="Tahoma"/>
            <family val="2"/>
          </rPr>
          <t xml:space="preserve">
</t>
        </r>
        <r>
          <rPr>
            <b/>
            <sz val="9"/>
            <color indexed="81"/>
            <rFont val="Tahoma"/>
            <family val="2"/>
          </rPr>
          <t>KOLOM C BARIS 41</t>
        </r>
      </text>
    </comment>
    <comment ref="D11" authorId="0">
      <text>
        <r>
          <rPr>
            <b/>
            <sz val="9"/>
            <color indexed="81"/>
            <rFont val="Tahoma"/>
            <family val="2"/>
          </rPr>
          <t>KPSMER OPR25:</t>
        </r>
        <r>
          <rPr>
            <sz val="9"/>
            <color indexed="81"/>
            <rFont val="Tahoma"/>
            <family val="2"/>
          </rPr>
          <t xml:space="preserve">
</t>
        </r>
        <r>
          <rPr>
            <b/>
            <sz val="9"/>
            <color indexed="81"/>
            <rFont val="Tahoma"/>
            <family val="2"/>
          </rPr>
          <t>KOLOM C BARIS 58</t>
        </r>
      </text>
    </comment>
    <comment ref="J11" authorId="0">
      <text>
        <r>
          <rPr>
            <b/>
            <sz val="9"/>
            <color indexed="81"/>
            <rFont val="Tahoma"/>
            <family val="2"/>
          </rPr>
          <t>KPSMER OPR25:</t>
        </r>
        <r>
          <rPr>
            <sz val="9"/>
            <color indexed="81"/>
            <rFont val="Tahoma"/>
            <family val="2"/>
          </rPr>
          <t xml:space="preserve">
</t>
        </r>
        <r>
          <rPr>
            <b/>
            <sz val="9"/>
            <color indexed="81"/>
            <rFont val="Tahoma"/>
            <family val="2"/>
          </rPr>
          <t>KOLOM C BARIS 58</t>
        </r>
      </text>
    </comment>
    <comment ref="D12" authorId="0">
      <text>
        <r>
          <rPr>
            <b/>
            <sz val="9"/>
            <color indexed="81"/>
            <rFont val="Tahoma"/>
            <family val="2"/>
          </rPr>
          <t>KPSMER OPR25:</t>
        </r>
        <r>
          <rPr>
            <sz val="9"/>
            <color indexed="81"/>
            <rFont val="Tahoma"/>
            <family val="2"/>
          </rPr>
          <t xml:space="preserve">
</t>
        </r>
        <r>
          <rPr>
            <b/>
            <sz val="9"/>
            <color indexed="81"/>
            <rFont val="Tahoma"/>
            <family val="2"/>
          </rPr>
          <t>KOLOM C BARIS 76 + KOLOM C BARIS 96</t>
        </r>
      </text>
    </comment>
    <comment ref="J12" authorId="0">
      <text>
        <r>
          <rPr>
            <b/>
            <sz val="9"/>
            <color indexed="81"/>
            <rFont val="Tahoma"/>
            <family val="2"/>
          </rPr>
          <t>KPSMER OPR25:</t>
        </r>
        <r>
          <rPr>
            <sz val="9"/>
            <color indexed="81"/>
            <rFont val="Tahoma"/>
            <family val="2"/>
          </rPr>
          <t xml:space="preserve">
</t>
        </r>
        <r>
          <rPr>
            <b/>
            <sz val="9"/>
            <color indexed="81"/>
            <rFont val="Tahoma"/>
            <family val="2"/>
          </rPr>
          <t>KOLOM C BARIS 76 + KOLOM C BARIS 96</t>
        </r>
      </text>
    </comment>
    <comment ref="D13" authorId="0">
      <text>
        <r>
          <rPr>
            <b/>
            <sz val="9"/>
            <color indexed="81"/>
            <rFont val="Tahoma"/>
            <family val="2"/>
          </rPr>
          <t>KPSMER OPR25:</t>
        </r>
        <r>
          <rPr>
            <sz val="9"/>
            <color indexed="81"/>
            <rFont val="Tahoma"/>
            <family val="2"/>
          </rPr>
          <t xml:space="preserve">
</t>
        </r>
        <r>
          <rPr>
            <b/>
            <sz val="9"/>
            <color indexed="81"/>
            <rFont val="Tahoma"/>
            <family val="2"/>
          </rPr>
          <t>KOLOM C BARIS 117</t>
        </r>
      </text>
    </comment>
    <comment ref="J13" authorId="0">
      <text>
        <r>
          <rPr>
            <b/>
            <sz val="9"/>
            <color indexed="81"/>
            <rFont val="Tahoma"/>
            <family val="2"/>
          </rPr>
          <t>KPSMER OPR25:</t>
        </r>
        <r>
          <rPr>
            <sz val="9"/>
            <color indexed="81"/>
            <rFont val="Tahoma"/>
            <family val="2"/>
          </rPr>
          <t xml:space="preserve">
</t>
        </r>
        <r>
          <rPr>
            <b/>
            <sz val="9"/>
            <color indexed="81"/>
            <rFont val="Tahoma"/>
            <family val="2"/>
          </rPr>
          <t>KOLOM C BARIS 117</t>
        </r>
      </text>
    </comment>
    <comment ref="D14" authorId="0">
      <text>
        <r>
          <rPr>
            <b/>
            <sz val="9"/>
            <color indexed="81"/>
            <rFont val="Tahoma"/>
            <family val="2"/>
          </rPr>
          <t>KPSMER OPR25:</t>
        </r>
        <r>
          <rPr>
            <sz val="9"/>
            <color indexed="81"/>
            <rFont val="Tahoma"/>
            <family val="2"/>
          </rPr>
          <t xml:space="preserve">
</t>
        </r>
        <r>
          <rPr>
            <b/>
            <sz val="9"/>
            <color indexed="81"/>
            <rFont val="Tahoma"/>
            <family val="2"/>
          </rPr>
          <t>KOLOM C BARIS 132</t>
        </r>
        <r>
          <rPr>
            <sz val="9"/>
            <color indexed="81"/>
            <rFont val="Tahoma"/>
            <family val="2"/>
          </rPr>
          <t xml:space="preserve">
</t>
        </r>
      </text>
    </comment>
    <comment ref="J14" authorId="0">
      <text>
        <r>
          <rPr>
            <b/>
            <sz val="9"/>
            <color indexed="81"/>
            <rFont val="Tahoma"/>
            <family val="2"/>
          </rPr>
          <t>KPSMER OPR25:</t>
        </r>
        <r>
          <rPr>
            <sz val="9"/>
            <color indexed="81"/>
            <rFont val="Tahoma"/>
            <family val="2"/>
          </rPr>
          <t xml:space="preserve">
</t>
        </r>
        <r>
          <rPr>
            <b/>
            <sz val="9"/>
            <color indexed="81"/>
            <rFont val="Tahoma"/>
            <family val="2"/>
          </rPr>
          <t>KOLOM C BARIS 132</t>
        </r>
        <r>
          <rPr>
            <sz val="9"/>
            <color indexed="81"/>
            <rFont val="Tahoma"/>
            <family val="2"/>
          </rPr>
          <t xml:space="preserve">
</t>
        </r>
      </text>
    </comment>
    <comment ref="D15" authorId="0">
      <text>
        <r>
          <rPr>
            <b/>
            <sz val="9"/>
            <color indexed="81"/>
            <rFont val="Tahoma"/>
            <family val="2"/>
          </rPr>
          <t>KPSMER OPR25:</t>
        </r>
        <r>
          <rPr>
            <sz val="9"/>
            <color indexed="81"/>
            <rFont val="Tahoma"/>
            <family val="2"/>
          </rPr>
          <t xml:space="preserve">
</t>
        </r>
        <r>
          <rPr>
            <b/>
            <sz val="9"/>
            <color indexed="81"/>
            <rFont val="Tahoma"/>
            <family val="2"/>
          </rPr>
          <t>KOLOM C BARIS 145</t>
        </r>
      </text>
    </comment>
    <comment ref="E15" authorId="0">
      <text>
        <r>
          <rPr>
            <b/>
            <sz val="9"/>
            <color indexed="81"/>
            <rFont val="Tahoma"/>
            <family val="2"/>
          </rPr>
          <t>KPSMER OPR25:</t>
        </r>
        <r>
          <rPr>
            <sz val="9"/>
            <color indexed="81"/>
            <rFont val="Tahoma"/>
            <family val="2"/>
          </rPr>
          <t xml:space="preserve">
</t>
        </r>
        <r>
          <rPr>
            <b/>
            <sz val="9"/>
            <color indexed="81"/>
            <rFont val="Tahoma"/>
            <family val="2"/>
          </rPr>
          <t>KOLOM I BARIS 150</t>
        </r>
      </text>
    </comment>
    <comment ref="J15" authorId="0">
      <text>
        <r>
          <rPr>
            <b/>
            <sz val="9"/>
            <color indexed="81"/>
            <rFont val="Tahoma"/>
            <family val="2"/>
          </rPr>
          <t>KPSMER OPR25:</t>
        </r>
        <r>
          <rPr>
            <sz val="9"/>
            <color indexed="81"/>
            <rFont val="Tahoma"/>
            <family val="2"/>
          </rPr>
          <t xml:space="preserve">
</t>
        </r>
        <r>
          <rPr>
            <b/>
            <sz val="9"/>
            <color indexed="81"/>
            <rFont val="Tahoma"/>
            <family val="2"/>
          </rPr>
          <t>KOLOM C BARIS 145</t>
        </r>
      </text>
    </comment>
    <comment ref="K15" authorId="0">
      <text>
        <r>
          <rPr>
            <b/>
            <sz val="9"/>
            <color indexed="81"/>
            <rFont val="Tahoma"/>
            <family val="2"/>
          </rPr>
          <t>KPSMER OPR25:</t>
        </r>
        <r>
          <rPr>
            <sz val="9"/>
            <color indexed="81"/>
            <rFont val="Tahoma"/>
            <family val="2"/>
          </rPr>
          <t xml:space="preserve">
</t>
        </r>
        <r>
          <rPr>
            <b/>
            <sz val="9"/>
            <color indexed="81"/>
            <rFont val="Tahoma"/>
            <family val="2"/>
          </rPr>
          <t>KOLOM I BARIS 150</t>
        </r>
      </text>
    </comment>
    <comment ref="D16" authorId="0">
      <text>
        <r>
          <rPr>
            <b/>
            <sz val="9"/>
            <color indexed="81"/>
            <rFont val="Tahoma"/>
            <family val="2"/>
          </rPr>
          <t>KPSMER OPR25:</t>
        </r>
        <r>
          <rPr>
            <sz val="9"/>
            <color indexed="81"/>
            <rFont val="Tahoma"/>
            <family val="2"/>
          </rPr>
          <t xml:space="preserve">
</t>
        </r>
        <r>
          <rPr>
            <b/>
            <sz val="9"/>
            <color indexed="81"/>
            <rFont val="Tahoma"/>
            <family val="2"/>
          </rPr>
          <t>KOLOM C BARIS 158</t>
        </r>
      </text>
    </comment>
    <comment ref="E16" authorId="0">
      <text>
        <r>
          <rPr>
            <b/>
            <sz val="9"/>
            <color indexed="81"/>
            <rFont val="Tahoma"/>
            <family val="2"/>
          </rPr>
          <t>KPSMER OPR25:</t>
        </r>
        <r>
          <rPr>
            <sz val="9"/>
            <color indexed="81"/>
            <rFont val="Tahoma"/>
            <family val="2"/>
          </rPr>
          <t xml:space="preserve">
</t>
        </r>
        <r>
          <rPr>
            <b/>
            <sz val="9"/>
            <color indexed="81"/>
            <rFont val="Tahoma"/>
            <family val="2"/>
          </rPr>
          <t>KOLOM I BARIS 163</t>
        </r>
        <r>
          <rPr>
            <sz val="9"/>
            <color indexed="81"/>
            <rFont val="Tahoma"/>
            <family val="2"/>
          </rPr>
          <t xml:space="preserve">
</t>
        </r>
      </text>
    </comment>
    <comment ref="G16" authorId="0">
      <text>
        <r>
          <rPr>
            <b/>
            <sz val="9"/>
            <color indexed="81"/>
            <rFont val="Tahoma"/>
            <family val="2"/>
          </rPr>
          <t>KPSMER OPR25:</t>
        </r>
        <r>
          <rPr>
            <sz val="9"/>
            <color indexed="81"/>
            <rFont val="Tahoma"/>
            <family val="2"/>
          </rPr>
          <t xml:space="preserve">
</t>
        </r>
        <r>
          <rPr>
            <b/>
            <sz val="9"/>
            <color indexed="81"/>
            <rFont val="Tahoma"/>
            <family val="2"/>
          </rPr>
          <t>KOLOM J BARIS 163</t>
        </r>
      </text>
    </comment>
    <comment ref="J16" authorId="0">
      <text>
        <r>
          <rPr>
            <b/>
            <sz val="9"/>
            <color indexed="81"/>
            <rFont val="Tahoma"/>
            <family val="2"/>
          </rPr>
          <t>KPSMER OPR25:</t>
        </r>
        <r>
          <rPr>
            <sz val="9"/>
            <color indexed="81"/>
            <rFont val="Tahoma"/>
            <family val="2"/>
          </rPr>
          <t xml:space="preserve">
</t>
        </r>
        <r>
          <rPr>
            <b/>
            <sz val="9"/>
            <color indexed="81"/>
            <rFont val="Tahoma"/>
            <family val="2"/>
          </rPr>
          <t>KOLOM C BARIS 158</t>
        </r>
      </text>
    </comment>
    <comment ref="K16" authorId="0">
      <text>
        <r>
          <rPr>
            <b/>
            <sz val="9"/>
            <color indexed="81"/>
            <rFont val="Tahoma"/>
            <family val="2"/>
          </rPr>
          <t>KPSMER OPR25:</t>
        </r>
        <r>
          <rPr>
            <sz val="9"/>
            <color indexed="81"/>
            <rFont val="Tahoma"/>
            <family val="2"/>
          </rPr>
          <t xml:space="preserve">
</t>
        </r>
        <r>
          <rPr>
            <b/>
            <sz val="9"/>
            <color indexed="81"/>
            <rFont val="Tahoma"/>
            <family val="2"/>
          </rPr>
          <t>KOLOM I BARIS 163</t>
        </r>
        <r>
          <rPr>
            <sz val="9"/>
            <color indexed="81"/>
            <rFont val="Tahoma"/>
            <family val="2"/>
          </rPr>
          <t xml:space="preserve">
</t>
        </r>
      </text>
    </comment>
    <comment ref="M16" authorId="0">
      <text>
        <r>
          <rPr>
            <b/>
            <sz val="9"/>
            <color indexed="81"/>
            <rFont val="Tahoma"/>
            <family val="2"/>
          </rPr>
          <t>KPSMER OPR25:</t>
        </r>
        <r>
          <rPr>
            <sz val="9"/>
            <color indexed="81"/>
            <rFont val="Tahoma"/>
            <family val="2"/>
          </rPr>
          <t xml:space="preserve">
</t>
        </r>
        <r>
          <rPr>
            <b/>
            <sz val="9"/>
            <color indexed="81"/>
            <rFont val="Tahoma"/>
            <family val="2"/>
          </rPr>
          <t>KOLOM J BARIS 163</t>
        </r>
      </text>
    </comment>
    <comment ref="D17" authorId="0">
      <text>
        <r>
          <rPr>
            <b/>
            <sz val="9"/>
            <color indexed="81"/>
            <rFont val="Tahoma"/>
            <family val="2"/>
          </rPr>
          <t>KPSMER OPR25:</t>
        </r>
        <r>
          <rPr>
            <sz val="9"/>
            <color indexed="81"/>
            <rFont val="Tahoma"/>
            <family val="2"/>
          </rPr>
          <t xml:space="preserve">
</t>
        </r>
        <r>
          <rPr>
            <b/>
            <sz val="9"/>
            <color indexed="81"/>
            <rFont val="Tahoma"/>
            <family val="2"/>
          </rPr>
          <t>KOLOM C BARIS 171</t>
        </r>
      </text>
    </comment>
    <comment ref="E17" authorId="0">
      <text>
        <r>
          <rPr>
            <b/>
            <sz val="9"/>
            <color indexed="81"/>
            <rFont val="Tahoma"/>
            <family val="2"/>
          </rPr>
          <t>KPSMER OPR25:</t>
        </r>
        <r>
          <rPr>
            <sz val="9"/>
            <color indexed="81"/>
            <rFont val="Tahoma"/>
            <family val="2"/>
          </rPr>
          <t xml:space="preserve">
</t>
        </r>
        <r>
          <rPr>
            <b/>
            <sz val="9"/>
            <color indexed="81"/>
            <rFont val="Tahoma"/>
            <family val="2"/>
          </rPr>
          <t>KOLOM I BARIS 184</t>
        </r>
      </text>
    </comment>
    <comment ref="G17" authorId="0">
      <text>
        <r>
          <rPr>
            <b/>
            <sz val="9"/>
            <color indexed="81"/>
            <rFont val="Tahoma"/>
            <family val="2"/>
          </rPr>
          <t>KPSMER OPR25:</t>
        </r>
        <r>
          <rPr>
            <sz val="9"/>
            <color indexed="81"/>
            <rFont val="Tahoma"/>
            <family val="2"/>
          </rPr>
          <t xml:space="preserve">
</t>
        </r>
        <r>
          <rPr>
            <b/>
            <sz val="9"/>
            <color indexed="81"/>
            <rFont val="Tahoma"/>
            <family val="2"/>
          </rPr>
          <t>KOLOM J BARIS 184</t>
        </r>
      </text>
    </comment>
    <comment ref="J17" authorId="0">
      <text>
        <r>
          <rPr>
            <b/>
            <sz val="9"/>
            <color indexed="81"/>
            <rFont val="Tahoma"/>
            <family val="2"/>
          </rPr>
          <t>KPSMER OPR25:</t>
        </r>
        <r>
          <rPr>
            <sz val="9"/>
            <color indexed="81"/>
            <rFont val="Tahoma"/>
            <family val="2"/>
          </rPr>
          <t xml:space="preserve">
</t>
        </r>
        <r>
          <rPr>
            <b/>
            <sz val="9"/>
            <color indexed="81"/>
            <rFont val="Tahoma"/>
            <family val="2"/>
          </rPr>
          <t>KOLOM C BARIS 171</t>
        </r>
      </text>
    </comment>
    <comment ref="K17" authorId="0">
      <text>
        <r>
          <rPr>
            <b/>
            <sz val="9"/>
            <color indexed="81"/>
            <rFont val="Tahoma"/>
            <family val="2"/>
          </rPr>
          <t>KPSMER OPR25:</t>
        </r>
        <r>
          <rPr>
            <sz val="9"/>
            <color indexed="81"/>
            <rFont val="Tahoma"/>
            <family val="2"/>
          </rPr>
          <t xml:space="preserve">
</t>
        </r>
        <r>
          <rPr>
            <b/>
            <sz val="9"/>
            <color indexed="81"/>
            <rFont val="Tahoma"/>
            <family val="2"/>
          </rPr>
          <t>KOLOM I BARIS 184</t>
        </r>
      </text>
    </comment>
    <comment ref="M17" authorId="0">
      <text>
        <r>
          <rPr>
            <b/>
            <sz val="9"/>
            <color indexed="81"/>
            <rFont val="Tahoma"/>
            <family val="2"/>
          </rPr>
          <t>KPSMER OPR25:</t>
        </r>
        <r>
          <rPr>
            <sz val="9"/>
            <color indexed="81"/>
            <rFont val="Tahoma"/>
            <family val="2"/>
          </rPr>
          <t xml:space="preserve">
</t>
        </r>
        <r>
          <rPr>
            <b/>
            <sz val="9"/>
            <color indexed="81"/>
            <rFont val="Tahoma"/>
            <family val="2"/>
          </rPr>
          <t>KOLOM J BARIS 184</t>
        </r>
      </text>
    </comment>
    <comment ref="D18" authorId="0">
      <text>
        <r>
          <rPr>
            <b/>
            <sz val="9"/>
            <color indexed="81"/>
            <rFont val="Tahoma"/>
            <family val="2"/>
          </rPr>
          <t>KPSMER OPR25:</t>
        </r>
        <r>
          <rPr>
            <sz val="9"/>
            <color indexed="81"/>
            <rFont val="Tahoma"/>
            <family val="2"/>
          </rPr>
          <t xml:space="preserve">
</t>
        </r>
        <r>
          <rPr>
            <b/>
            <sz val="9"/>
            <color indexed="81"/>
            <rFont val="Tahoma"/>
            <family val="2"/>
          </rPr>
          <t>KOLOM C BARIS 192</t>
        </r>
      </text>
    </comment>
    <comment ref="E18" authorId="0">
      <text>
        <r>
          <rPr>
            <b/>
            <sz val="9"/>
            <color indexed="81"/>
            <rFont val="Tahoma"/>
            <family val="2"/>
          </rPr>
          <t>KPSMER OPR25:</t>
        </r>
        <r>
          <rPr>
            <sz val="9"/>
            <color indexed="81"/>
            <rFont val="Tahoma"/>
            <family val="2"/>
          </rPr>
          <t xml:space="preserve">
KOLOM I BARIS 198</t>
        </r>
      </text>
    </comment>
    <comment ref="J18" authorId="0">
      <text>
        <r>
          <rPr>
            <b/>
            <sz val="9"/>
            <color indexed="81"/>
            <rFont val="Tahoma"/>
            <family val="2"/>
          </rPr>
          <t>KPSMER OPR25:</t>
        </r>
        <r>
          <rPr>
            <sz val="9"/>
            <color indexed="81"/>
            <rFont val="Tahoma"/>
            <family val="2"/>
          </rPr>
          <t xml:space="preserve">
</t>
        </r>
        <r>
          <rPr>
            <b/>
            <sz val="9"/>
            <color indexed="81"/>
            <rFont val="Tahoma"/>
            <family val="2"/>
          </rPr>
          <t>KOLOM C BARIS 192</t>
        </r>
      </text>
    </comment>
    <comment ref="K18" authorId="0">
      <text>
        <r>
          <rPr>
            <b/>
            <sz val="9"/>
            <color indexed="81"/>
            <rFont val="Tahoma"/>
            <family val="2"/>
          </rPr>
          <t>KPSMER OPR25:</t>
        </r>
        <r>
          <rPr>
            <sz val="9"/>
            <color indexed="81"/>
            <rFont val="Tahoma"/>
            <family val="2"/>
          </rPr>
          <t xml:space="preserve">
KOLOM I BARIS 198</t>
        </r>
      </text>
    </comment>
    <comment ref="D19" authorId="0">
      <text>
        <r>
          <rPr>
            <b/>
            <sz val="9"/>
            <color indexed="81"/>
            <rFont val="Tahoma"/>
            <family val="2"/>
          </rPr>
          <t>KPSMER OPR25:</t>
        </r>
        <r>
          <rPr>
            <sz val="9"/>
            <color indexed="81"/>
            <rFont val="Tahoma"/>
            <family val="2"/>
          </rPr>
          <t xml:space="preserve">
</t>
        </r>
        <r>
          <rPr>
            <b/>
            <sz val="9"/>
            <color indexed="81"/>
            <rFont val="Tahoma"/>
            <family val="2"/>
          </rPr>
          <t>FORM ATMR KREDIT 1.A KOLOM H BARIS 86</t>
        </r>
      </text>
    </comment>
    <comment ref="J19" authorId="0">
      <text>
        <r>
          <rPr>
            <b/>
            <sz val="9"/>
            <color indexed="81"/>
            <rFont val="Tahoma"/>
            <family val="2"/>
          </rPr>
          <t>KPSMER OPR25:</t>
        </r>
        <r>
          <rPr>
            <sz val="9"/>
            <color indexed="81"/>
            <rFont val="Tahoma"/>
            <family val="2"/>
          </rPr>
          <t xml:space="preserve">
</t>
        </r>
        <r>
          <rPr>
            <b/>
            <sz val="9"/>
            <color indexed="81"/>
            <rFont val="Tahoma"/>
            <family val="2"/>
          </rPr>
          <t>FORM ATMR KREDIT 1.A KOLOM H BARIS 86</t>
        </r>
      </text>
    </comment>
    <comment ref="D23" authorId="0">
      <text>
        <r>
          <rPr>
            <b/>
            <sz val="9"/>
            <color indexed="81"/>
            <rFont val="Tahoma"/>
            <family val="2"/>
          </rPr>
          <t>KPSMER OPR25:</t>
        </r>
        <r>
          <rPr>
            <sz val="9"/>
            <color indexed="81"/>
            <rFont val="Tahoma"/>
            <family val="2"/>
          </rPr>
          <t xml:space="preserve">
</t>
        </r>
        <r>
          <rPr>
            <b/>
            <sz val="9"/>
            <color indexed="81"/>
            <rFont val="Tahoma"/>
            <family val="2"/>
          </rPr>
          <t>KOLOM E BARIS 224</t>
        </r>
      </text>
    </comment>
    <comment ref="J23" authorId="0">
      <text>
        <r>
          <rPr>
            <b/>
            <sz val="9"/>
            <color indexed="81"/>
            <rFont val="Tahoma"/>
            <family val="2"/>
          </rPr>
          <t>KPSMER OPR25:</t>
        </r>
        <r>
          <rPr>
            <sz val="9"/>
            <color indexed="81"/>
            <rFont val="Tahoma"/>
            <family val="2"/>
          </rPr>
          <t xml:space="preserve">
</t>
        </r>
        <r>
          <rPr>
            <b/>
            <sz val="9"/>
            <color indexed="81"/>
            <rFont val="Tahoma"/>
            <family val="2"/>
          </rPr>
          <t>KOLOM E BARIS 224</t>
        </r>
      </text>
    </comment>
    <comment ref="D24" authorId="0">
      <text>
        <r>
          <rPr>
            <b/>
            <sz val="9"/>
            <color indexed="81"/>
            <rFont val="Tahoma"/>
            <family val="2"/>
          </rPr>
          <t>KPSMER OPR25:</t>
        </r>
        <r>
          <rPr>
            <sz val="9"/>
            <color indexed="81"/>
            <rFont val="Tahoma"/>
            <family val="2"/>
          </rPr>
          <t xml:space="preserve">
</t>
        </r>
        <r>
          <rPr>
            <b/>
            <sz val="9"/>
            <color indexed="81"/>
            <rFont val="Tahoma"/>
            <family val="2"/>
          </rPr>
          <t>KOLOM E BARIS 283</t>
        </r>
      </text>
    </comment>
    <comment ref="F24" authorId="0">
      <text>
        <r>
          <rPr>
            <b/>
            <sz val="9"/>
            <color indexed="81"/>
            <rFont val="Tahoma"/>
            <family val="2"/>
          </rPr>
          <t>KPSMER OPR25:</t>
        </r>
        <r>
          <rPr>
            <sz val="9"/>
            <color indexed="81"/>
            <rFont val="Tahoma"/>
            <family val="2"/>
          </rPr>
          <t xml:space="preserve">
</t>
        </r>
        <r>
          <rPr>
            <b/>
            <sz val="9"/>
            <color indexed="81"/>
            <rFont val="Tahoma"/>
            <family val="2"/>
          </rPr>
          <t>KOLOM K BARIS 283</t>
        </r>
      </text>
    </comment>
    <comment ref="J24" authorId="0">
      <text>
        <r>
          <rPr>
            <b/>
            <sz val="9"/>
            <color indexed="81"/>
            <rFont val="Tahoma"/>
            <family val="2"/>
          </rPr>
          <t>KPSMER OPR25:</t>
        </r>
        <r>
          <rPr>
            <sz val="9"/>
            <color indexed="81"/>
            <rFont val="Tahoma"/>
            <family val="2"/>
          </rPr>
          <t xml:space="preserve">
</t>
        </r>
        <r>
          <rPr>
            <b/>
            <sz val="9"/>
            <color indexed="81"/>
            <rFont val="Tahoma"/>
            <family val="2"/>
          </rPr>
          <t>KOLOM E BARIS 283</t>
        </r>
      </text>
    </comment>
    <comment ref="L24" authorId="0">
      <text>
        <r>
          <rPr>
            <b/>
            <sz val="9"/>
            <color indexed="81"/>
            <rFont val="Tahoma"/>
            <family val="2"/>
          </rPr>
          <t>KPSMER OPR25:</t>
        </r>
        <r>
          <rPr>
            <sz val="9"/>
            <color indexed="81"/>
            <rFont val="Tahoma"/>
            <family val="2"/>
          </rPr>
          <t xml:space="preserve">
</t>
        </r>
        <r>
          <rPr>
            <b/>
            <sz val="9"/>
            <color indexed="81"/>
            <rFont val="Tahoma"/>
            <family val="2"/>
          </rPr>
          <t>KOLOM K BARIS 283</t>
        </r>
      </text>
    </comment>
    <comment ref="D30" authorId="0">
      <text>
        <r>
          <rPr>
            <b/>
            <sz val="9"/>
            <color indexed="81"/>
            <rFont val="Tahoma"/>
            <family val="2"/>
          </rPr>
          <t>KPSMER OPR25:</t>
        </r>
        <r>
          <rPr>
            <sz val="9"/>
            <color indexed="81"/>
            <rFont val="Tahoma"/>
            <family val="2"/>
          </rPr>
          <t xml:space="preserve">
</t>
        </r>
        <r>
          <rPr>
            <b/>
            <sz val="9"/>
            <color indexed="81"/>
            <rFont val="Tahoma"/>
            <family val="2"/>
          </rPr>
          <t>KOLOM E BARIS 466</t>
        </r>
      </text>
    </comment>
    <comment ref="E30" authorId="0">
      <text>
        <r>
          <rPr>
            <b/>
            <sz val="9"/>
            <color indexed="81"/>
            <rFont val="Tahoma"/>
            <family val="2"/>
          </rPr>
          <t>KPSMER OPR25:</t>
        </r>
        <r>
          <rPr>
            <sz val="9"/>
            <color indexed="81"/>
            <rFont val="Tahoma"/>
            <family val="2"/>
          </rPr>
          <t xml:space="preserve">
</t>
        </r>
        <r>
          <rPr>
            <b/>
            <sz val="9"/>
            <color indexed="81"/>
            <rFont val="Tahoma"/>
            <family val="2"/>
          </rPr>
          <t>KOLOM I BARIS 466</t>
        </r>
        <r>
          <rPr>
            <sz val="9"/>
            <color indexed="81"/>
            <rFont val="Tahoma"/>
            <family val="2"/>
          </rPr>
          <t xml:space="preserve">
</t>
        </r>
      </text>
    </comment>
    <comment ref="F30" authorId="0">
      <text>
        <r>
          <rPr>
            <b/>
            <sz val="9"/>
            <color indexed="81"/>
            <rFont val="Tahoma"/>
            <family val="2"/>
          </rPr>
          <t>KPSMER OPR25:</t>
        </r>
        <r>
          <rPr>
            <sz val="9"/>
            <color indexed="81"/>
            <rFont val="Tahoma"/>
            <family val="2"/>
          </rPr>
          <t xml:space="preserve">
</t>
        </r>
        <r>
          <rPr>
            <b/>
            <sz val="9"/>
            <color indexed="81"/>
            <rFont val="Tahoma"/>
            <family val="2"/>
          </rPr>
          <t>KOLOM K BARIS 466</t>
        </r>
      </text>
    </comment>
    <comment ref="J30" authorId="0">
      <text>
        <r>
          <rPr>
            <b/>
            <sz val="9"/>
            <color indexed="81"/>
            <rFont val="Tahoma"/>
            <family val="2"/>
          </rPr>
          <t>KPSMER OPR25:</t>
        </r>
        <r>
          <rPr>
            <sz val="9"/>
            <color indexed="81"/>
            <rFont val="Tahoma"/>
            <family val="2"/>
          </rPr>
          <t xml:space="preserve">
</t>
        </r>
        <r>
          <rPr>
            <b/>
            <sz val="9"/>
            <color indexed="81"/>
            <rFont val="Tahoma"/>
            <family val="2"/>
          </rPr>
          <t>KOLOM E BARIS 466</t>
        </r>
      </text>
    </comment>
    <comment ref="K30" authorId="0">
      <text>
        <r>
          <rPr>
            <b/>
            <sz val="9"/>
            <color indexed="81"/>
            <rFont val="Tahoma"/>
            <family val="2"/>
          </rPr>
          <t>KPSMER OPR25:</t>
        </r>
        <r>
          <rPr>
            <sz val="9"/>
            <color indexed="81"/>
            <rFont val="Tahoma"/>
            <family val="2"/>
          </rPr>
          <t xml:space="preserve">
</t>
        </r>
        <r>
          <rPr>
            <b/>
            <sz val="9"/>
            <color indexed="81"/>
            <rFont val="Tahoma"/>
            <family val="2"/>
          </rPr>
          <t>KOLOM I BARIS 466</t>
        </r>
        <r>
          <rPr>
            <sz val="9"/>
            <color indexed="81"/>
            <rFont val="Tahoma"/>
            <family val="2"/>
          </rPr>
          <t xml:space="preserve">
</t>
        </r>
      </text>
    </comment>
    <comment ref="L30" authorId="0">
      <text>
        <r>
          <rPr>
            <b/>
            <sz val="9"/>
            <color indexed="81"/>
            <rFont val="Tahoma"/>
            <family val="2"/>
          </rPr>
          <t>KPSMER OPR25:</t>
        </r>
        <r>
          <rPr>
            <sz val="9"/>
            <color indexed="81"/>
            <rFont val="Tahoma"/>
            <family val="2"/>
          </rPr>
          <t xml:space="preserve">
</t>
        </r>
        <r>
          <rPr>
            <b/>
            <sz val="9"/>
            <color indexed="81"/>
            <rFont val="Tahoma"/>
            <family val="2"/>
          </rPr>
          <t>KOLOM K BARIS 466</t>
        </r>
      </text>
    </comment>
    <comment ref="D31" authorId="0">
      <text>
        <r>
          <rPr>
            <b/>
            <sz val="9"/>
            <color indexed="81"/>
            <rFont val="Tahoma"/>
            <family val="2"/>
          </rPr>
          <t>KPSMER OPR25:</t>
        </r>
        <r>
          <rPr>
            <sz val="9"/>
            <color indexed="81"/>
            <rFont val="Tahoma"/>
            <family val="2"/>
          </rPr>
          <t xml:space="preserve">
</t>
        </r>
        <r>
          <rPr>
            <b/>
            <sz val="9"/>
            <color indexed="81"/>
            <rFont val="Tahoma"/>
            <family val="2"/>
          </rPr>
          <t>KOLOM E BARIS 499</t>
        </r>
      </text>
    </comment>
    <comment ref="E31" authorId="0">
      <text>
        <r>
          <rPr>
            <b/>
            <sz val="9"/>
            <color indexed="81"/>
            <rFont val="Tahoma"/>
            <family val="2"/>
          </rPr>
          <t>KPSMER OPR25:</t>
        </r>
        <r>
          <rPr>
            <sz val="9"/>
            <color indexed="81"/>
            <rFont val="Tahoma"/>
            <family val="2"/>
          </rPr>
          <t xml:space="preserve">
</t>
        </r>
        <r>
          <rPr>
            <b/>
            <sz val="9"/>
            <color indexed="81"/>
            <rFont val="Tahoma"/>
            <family val="2"/>
          </rPr>
          <t>KOLOM I BARIS 499</t>
        </r>
      </text>
    </comment>
    <comment ref="F31" authorId="0">
      <text>
        <r>
          <rPr>
            <b/>
            <sz val="9"/>
            <color indexed="81"/>
            <rFont val="Tahoma"/>
            <family val="2"/>
          </rPr>
          <t>KPSMER OPR25:</t>
        </r>
        <r>
          <rPr>
            <sz val="9"/>
            <color indexed="81"/>
            <rFont val="Tahoma"/>
            <family val="2"/>
          </rPr>
          <t xml:space="preserve">
</t>
        </r>
        <r>
          <rPr>
            <b/>
            <sz val="9"/>
            <color indexed="81"/>
            <rFont val="Tahoma"/>
            <family val="2"/>
          </rPr>
          <t>KOLOM K BARIS 499</t>
        </r>
      </text>
    </comment>
    <comment ref="J31" authorId="0">
      <text>
        <r>
          <rPr>
            <b/>
            <sz val="9"/>
            <color indexed="81"/>
            <rFont val="Tahoma"/>
            <family val="2"/>
          </rPr>
          <t>KPSMER OPR25:</t>
        </r>
        <r>
          <rPr>
            <sz val="9"/>
            <color indexed="81"/>
            <rFont val="Tahoma"/>
            <family val="2"/>
          </rPr>
          <t xml:space="preserve">
</t>
        </r>
        <r>
          <rPr>
            <b/>
            <sz val="9"/>
            <color indexed="81"/>
            <rFont val="Tahoma"/>
            <family val="2"/>
          </rPr>
          <t>KOLOM E BARIS 499</t>
        </r>
      </text>
    </comment>
    <comment ref="K31" authorId="0">
      <text>
        <r>
          <rPr>
            <b/>
            <sz val="9"/>
            <color indexed="81"/>
            <rFont val="Tahoma"/>
            <family val="2"/>
          </rPr>
          <t>KPSMER OPR25:</t>
        </r>
        <r>
          <rPr>
            <sz val="9"/>
            <color indexed="81"/>
            <rFont val="Tahoma"/>
            <family val="2"/>
          </rPr>
          <t xml:space="preserve">
</t>
        </r>
        <r>
          <rPr>
            <b/>
            <sz val="9"/>
            <color indexed="81"/>
            <rFont val="Tahoma"/>
            <family val="2"/>
          </rPr>
          <t>KOLOM I BARIS 499</t>
        </r>
      </text>
    </comment>
    <comment ref="L31" authorId="0">
      <text>
        <r>
          <rPr>
            <b/>
            <sz val="9"/>
            <color indexed="81"/>
            <rFont val="Tahoma"/>
            <family val="2"/>
          </rPr>
          <t>KPSMER OPR25:</t>
        </r>
        <r>
          <rPr>
            <sz val="9"/>
            <color indexed="81"/>
            <rFont val="Tahoma"/>
            <family val="2"/>
          </rPr>
          <t xml:space="preserve">
</t>
        </r>
        <r>
          <rPr>
            <b/>
            <sz val="9"/>
            <color indexed="81"/>
            <rFont val="Tahoma"/>
            <family val="2"/>
          </rPr>
          <t>KOLOM K BARIS 499</t>
        </r>
      </text>
    </comment>
    <comment ref="D32" authorId="0">
      <text>
        <r>
          <rPr>
            <b/>
            <sz val="9"/>
            <color indexed="81"/>
            <rFont val="Tahoma"/>
            <family val="2"/>
          </rPr>
          <t>KPSMER OPR25:</t>
        </r>
        <r>
          <rPr>
            <sz val="9"/>
            <color indexed="81"/>
            <rFont val="Tahoma"/>
            <family val="2"/>
          </rPr>
          <t xml:space="preserve">
</t>
        </r>
        <r>
          <rPr>
            <b/>
            <sz val="9"/>
            <color indexed="81"/>
            <rFont val="Tahoma"/>
            <family val="2"/>
          </rPr>
          <t>KOLOM E BARIS 522</t>
        </r>
      </text>
    </comment>
    <comment ref="J32" authorId="0">
      <text>
        <r>
          <rPr>
            <b/>
            <sz val="9"/>
            <color indexed="81"/>
            <rFont val="Tahoma"/>
            <family val="2"/>
          </rPr>
          <t>KPSMER OPR25:</t>
        </r>
        <r>
          <rPr>
            <sz val="9"/>
            <color indexed="81"/>
            <rFont val="Tahoma"/>
            <family val="2"/>
          </rPr>
          <t xml:space="preserve">
</t>
        </r>
        <r>
          <rPr>
            <b/>
            <sz val="9"/>
            <color indexed="81"/>
            <rFont val="Tahoma"/>
            <family val="2"/>
          </rPr>
          <t>KOLOM E BARIS 522</t>
        </r>
      </text>
    </comment>
    <comment ref="D36" authorId="0">
      <text>
        <r>
          <rPr>
            <b/>
            <sz val="9"/>
            <color indexed="81"/>
            <rFont val="Tahoma"/>
            <family val="2"/>
          </rPr>
          <t>KPSMER OPR25:</t>
        </r>
        <r>
          <rPr>
            <sz val="9"/>
            <color indexed="81"/>
            <rFont val="Tahoma"/>
            <family val="2"/>
          </rPr>
          <t xml:space="preserve">
</t>
        </r>
        <r>
          <rPr>
            <b/>
            <sz val="9"/>
            <color indexed="81"/>
            <rFont val="Tahoma"/>
            <family val="2"/>
          </rPr>
          <t>KOLOM E BARIS 542</t>
        </r>
      </text>
    </comment>
    <comment ref="J36" authorId="0">
      <text>
        <r>
          <rPr>
            <b/>
            <sz val="9"/>
            <color indexed="81"/>
            <rFont val="Tahoma"/>
            <family val="2"/>
          </rPr>
          <t>KPSMER OPR25:</t>
        </r>
        <r>
          <rPr>
            <sz val="9"/>
            <color indexed="81"/>
            <rFont val="Tahoma"/>
            <family val="2"/>
          </rPr>
          <t xml:space="preserve">
</t>
        </r>
        <r>
          <rPr>
            <b/>
            <sz val="9"/>
            <color indexed="81"/>
            <rFont val="Tahoma"/>
            <family val="2"/>
          </rPr>
          <t>KOLOM E BARIS 542</t>
        </r>
      </text>
    </comment>
    <comment ref="D43" authorId="0">
      <text>
        <r>
          <rPr>
            <b/>
            <sz val="9"/>
            <color indexed="81"/>
            <rFont val="Tahoma"/>
            <family val="2"/>
          </rPr>
          <t>KPSMER OPR25:</t>
        </r>
        <r>
          <rPr>
            <sz val="9"/>
            <color indexed="81"/>
            <rFont val="Tahoma"/>
            <family val="2"/>
          </rPr>
          <t xml:space="preserve">
TOTALNYA HARUS SAMA DENGAN FORM ATMR 1.C TAGIHAN BERSIH (BRS 37 + BRS 60 + BRS 78)</t>
        </r>
      </text>
    </comment>
  </commentList>
</comments>
</file>

<file path=xl/comments16.xml><?xml version="1.0" encoding="utf-8"?>
<comments xmlns="http://schemas.openxmlformats.org/spreadsheetml/2006/main">
  <authors>
    <author>KPSMER OPR25</author>
  </authors>
  <commentList>
    <comment ref="F9" authorId="0">
      <text>
        <r>
          <rPr>
            <b/>
            <sz val="9"/>
            <color indexed="81"/>
            <rFont val="Tahoma"/>
            <charset val="1"/>
          </rPr>
          <t>KPSMER OPR25:</t>
        </r>
        <r>
          <rPr>
            <sz val="9"/>
            <color indexed="81"/>
            <rFont val="Tahoma"/>
            <charset val="1"/>
          </rPr>
          <t xml:space="preserve">
</t>
        </r>
        <r>
          <rPr>
            <b/>
            <sz val="9"/>
            <color indexed="81"/>
            <rFont val="Tahoma"/>
            <family val="2"/>
          </rPr>
          <t>ATMR I.C</t>
        </r>
        <r>
          <rPr>
            <sz val="9"/>
            <color indexed="81"/>
            <rFont val="Tahoma"/>
            <charset val="1"/>
          </rPr>
          <t xml:space="preserve"> </t>
        </r>
        <r>
          <rPr>
            <b/>
            <sz val="9"/>
            <color indexed="81"/>
            <rFont val="Tahoma"/>
            <family val="2"/>
          </rPr>
          <t>KOLOM F BARIS 11</t>
        </r>
      </text>
    </comment>
    <comment ref="G9" authorId="0">
      <text>
        <r>
          <rPr>
            <b/>
            <sz val="9"/>
            <color indexed="81"/>
            <rFont val="Tahoma"/>
            <family val="2"/>
          </rPr>
          <t>KPSMER OPR25:</t>
        </r>
        <r>
          <rPr>
            <sz val="9"/>
            <color indexed="81"/>
            <rFont val="Tahoma"/>
            <family val="2"/>
          </rPr>
          <t xml:space="preserve">
</t>
        </r>
        <r>
          <rPr>
            <b/>
            <sz val="9"/>
            <color indexed="81"/>
            <rFont val="Tahoma"/>
            <family val="2"/>
          </rPr>
          <t>BARIS 11 KOLOM G</t>
        </r>
      </text>
    </comment>
    <comment ref="H9" authorId="0">
      <text>
        <r>
          <rPr>
            <b/>
            <sz val="9"/>
            <color indexed="81"/>
            <rFont val="Tahoma"/>
            <family val="2"/>
          </rPr>
          <t>KPSMER OPR25:</t>
        </r>
        <r>
          <rPr>
            <sz val="9"/>
            <color indexed="81"/>
            <rFont val="Tahoma"/>
            <family val="2"/>
          </rPr>
          <t xml:space="preserve">
</t>
        </r>
        <r>
          <rPr>
            <b/>
            <sz val="9"/>
            <color indexed="81"/>
            <rFont val="Tahoma"/>
            <family val="2"/>
          </rPr>
          <t>BARIS 11 KOLOM H</t>
        </r>
      </text>
    </comment>
    <comment ref="F10" authorId="0">
      <text>
        <r>
          <rPr>
            <b/>
            <sz val="9"/>
            <color indexed="81"/>
            <rFont val="Tahoma"/>
            <family val="2"/>
          </rPr>
          <t>KPSMER OPR25:</t>
        </r>
        <r>
          <rPr>
            <sz val="9"/>
            <color indexed="81"/>
            <rFont val="Tahoma"/>
            <family val="2"/>
          </rPr>
          <t xml:space="preserve">
</t>
        </r>
        <r>
          <rPr>
            <b/>
            <sz val="9"/>
            <color indexed="81"/>
            <rFont val="Tahoma"/>
            <family val="2"/>
          </rPr>
          <t>BARIS 14 KOLOM F</t>
        </r>
      </text>
    </comment>
    <comment ref="G10" authorId="0">
      <text>
        <r>
          <rPr>
            <b/>
            <sz val="9"/>
            <color indexed="81"/>
            <rFont val="Tahoma"/>
            <family val="2"/>
          </rPr>
          <t>KPSMER OPR25:</t>
        </r>
        <r>
          <rPr>
            <sz val="9"/>
            <color indexed="81"/>
            <rFont val="Tahoma"/>
            <family val="2"/>
          </rPr>
          <t xml:space="preserve">
</t>
        </r>
        <r>
          <rPr>
            <b/>
            <sz val="9"/>
            <color indexed="81"/>
            <rFont val="Tahoma"/>
            <family val="2"/>
          </rPr>
          <t>BARIS 14 KOLOM G</t>
        </r>
      </text>
    </comment>
    <comment ref="H10" authorId="0">
      <text>
        <r>
          <rPr>
            <b/>
            <sz val="9"/>
            <color indexed="81"/>
            <rFont val="Tahoma"/>
            <family val="2"/>
          </rPr>
          <t>KPSMER OPR25:</t>
        </r>
        <r>
          <rPr>
            <sz val="9"/>
            <color indexed="81"/>
            <rFont val="Tahoma"/>
            <family val="2"/>
          </rPr>
          <t xml:space="preserve">
</t>
        </r>
        <r>
          <rPr>
            <b/>
            <sz val="9"/>
            <color indexed="81"/>
            <rFont val="Tahoma"/>
            <family val="2"/>
          </rPr>
          <t>BARIS 14 KOLOM H</t>
        </r>
      </text>
    </comment>
    <comment ref="F11" authorId="0">
      <text>
        <r>
          <rPr>
            <b/>
            <sz val="9"/>
            <color indexed="81"/>
            <rFont val="Tahoma"/>
            <family val="2"/>
          </rPr>
          <t>KPSMER
BARIS 15 KOLOM F</t>
        </r>
      </text>
    </comment>
    <comment ref="G11" authorId="0">
      <text>
        <r>
          <rPr>
            <b/>
            <sz val="9"/>
            <color indexed="81"/>
            <rFont val="Tahoma"/>
            <family val="2"/>
          </rPr>
          <t>KPSMER OPR25:</t>
        </r>
        <r>
          <rPr>
            <sz val="9"/>
            <color indexed="81"/>
            <rFont val="Tahoma"/>
            <family val="2"/>
          </rPr>
          <t xml:space="preserve">
</t>
        </r>
        <r>
          <rPr>
            <b/>
            <sz val="9"/>
            <color indexed="81"/>
            <rFont val="Tahoma"/>
            <family val="2"/>
          </rPr>
          <t>BARIS 15 KOLOM G</t>
        </r>
      </text>
    </comment>
    <comment ref="H11" authorId="0">
      <text>
        <r>
          <rPr>
            <b/>
            <sz val="9"/>
            <color indexed="81"/>
            <rFont val="Tahoma"/>
            <family val="2"/>
          </rPr>
          <t>KPSMER OPR25:</t>
        </r>
        <r>
          <rPr>
            <sz val="9"/>
            <color indexed="81"/>
            <rFont val="Tahoma"/>
            <family val="2"/>
          </rPr>
          <t xml:space="preserve">
</t>
        </r>
        <r>
          <rPr>
            <b/>
            <sz val="9"/>
            <color indexed="81"/>
            <rFont val="Tahoma"/>
            <family val="2"/>
          </rPr>
          <t>BARIS 15 KOLOM H</t>
        </r>
      </text>
    </comment>
    <comment ref="F12" authorId="0">
      <text>
        <r>
          <rPr>
            <b/>
            <sz val="9"/>
            <color indexed="81"/>
            <rFont val="Tahoma"/>
            <family val="2"/>
          </rPr>
          <t>KPSMER OPR25:</t>
        </r>
        <r>
          <rPr>
            <sz val="9"/>
            <color indexed="81"/>
            <rFont val="Tahoma"/>
            <family val="2"/>
          </rPr>
          <t xml:space="preserve">
</t>
        </r>
        <r>
          <rPr>
            <b/>
            <sz val="9"/>
            <color indexed="81"/>
            <rFont val="Tahoma"/>
            <family val="2"/>
          </rPr>
          <t>BARIS 16 KOLOM F</t>
        </r>
      </text>
    </comment>
    <comment ref="G12" authorId="0">
      <text>
        <r>
          <rPr>
            <b/>
            <sz val="9"/>
            <color indexed="81"/>
            <rFont val="Tahoma"/>
            <family val="2"/>
          </rPr>
          <t>KPSMER OPR25:</t>
        </r>
        <r>
          <rPr>
            <sz val="9"/>
            <color indexed="81"/>
            <rFont val="Tahoma"/>
            <family val="2"/>
          </rPr>
          <t xml:space="preserve">
</t>
        </r>
        <r>
          <rPr>
            <b/>
            <sz val="9"/>
            <color indexed="81"/>
            <rFont val="Tahoma"/>
            <family val="2"/>
          </rPr>
          <t>BARIS 16 KOLOM G</t>
        </r>
      </text>
    </comment>
    <comment ref="H12" authorId="0">
      <text>
        <r>
          <rPr>
            <b/>
            <sz val="9"/>
            <color indexed="81"/>
            <rFont val="Tahoma"/>
            <family val="2"/>
          </rPr>
          <t>KPSMER OPR25:</t>
        </r>
        <r>
          <rPr>
            <sz val="9"/>
            <color indexed="81"/>
            <rFont val="Tahoma"/>
            <family val="2"/>
          </rPr>
          <t xml:space="preserve">
</t>
        </r>
        <r>
          <rPr>
            <b/>
            <sz val="9"/>
            <color indexed="81"/>
            <rFont val="Tahoma"/>
            <family val="2"/>
          </rPr>
          <t>BARIS 16 KOLOM H</t>
        </r>
      </text>
    </comment>
    <comment ref="F13" authorId="0">
      <text>
        <r>
          <rPr>
            <b/>
            <sz val="9"/>
            <color indexed="81"/>
            <rFont val="Tahoma"/>
            <family val="2"/>
          </rPr>
          <t>KPSMER OPR25:</t>
        </r>
        <r>
          <rPr>
            <sz val="9"/>
            <color indexed="81"/>
            <rFont val="Tahoma"/>
            <family val="2"/>
          </rPr>
          <t xml:space="preserve">
</t>
        </r>
        <r>
          <rPr>
            <b/>
            <sz val="9"/>
            <color indexed="81"/>
            <rFont val="Tahoma"/>
            <family val="2"/>
          </rPr>
          <t>BARIS 19 KOLOM F</t>
        </r>
      </text>
    </comment>
    <comment ref="G13" authorId="0">
      <text>
        <r>
          <rPr>
            <b/>
            <sz val="9"/>
            <color indexed="81"/>
            <rFont val="Tahoma"/>
            <family val="2"/>
          </rPr>
          <t>KPSMER OPR25:</t>
        </r>
        <r>
          <rPr>
            <sz val="9"/>
            <color indexed="81"/>
            <rFont val="Tahoma"/>
            <family val="2"/>
          </rPr>
          <t xml:space="preserve">
</t>
        </r>
        <r>
          <rPr>
            <b/>
            <sz val="9"/>
            <color indexed="81"/>
            <rFont val="Tahoma"/>
            <family val="2"/>
          </rPr>
          <t>BARIS 19 KOLOM G</t>
        </r>
      </text>
    </comment>
    <comment ref="H13" authorId="0">
      <text>
        <r>
          <rPr>
            <b/>
            <sz val="9"/>
            <color indexed="81"/>
            <rFont val="Tahoma"/>
            <family val="2"/>
          </rPr>
          <t>KPSMER OPR25:</t>
        </r>
        <r>
          <rPr>
            <sz val="9"/>
            <color indexed="81"/>
            <rFont val="Tahoma"/>
            <family val="2"/>
          </rPr>
          <t xml:space="preserve">
</t>
        </r>
        <r>
          <rPr>
            <b/>
            <sz val="9"/>
            <color indexed="81"/>
            <rFont val="Tahoma"/>
            <family val="2"/>
          </rPr>
          <t>BARIS 19 KOLOM H</t>
        </r>
      </text>
    </comment>
    <comment ref="F14" authorId="0">
      <text>
        <r>
          <rPr>
            <b/>
            <sz val="9"/>
            <color indexed="81"/>
            <rFont val="Tahoma"/>
            <family val="2"/>
          </rPr>
          <t>KPSMER OPR25:</t>
        </r>
        <r>
          <rPr>
            <sz val="9"/>
            <color indexed="81"/>
            <rFont val="Tahoma"/>
            <family val="2"/>
          </rPr>
          <t xml:space="preserve">
</t>
        </r>
        <r>
          <rPr>
            <b/>
            <sz val="9"/>
            <color indexed="81"/>
            <rFont val="Tahoma"/>
            <family val="2"/>
          </rPr>
          <t>BARIS 20 KOLOM F</t>
        </r>
      </text>
    </comment>
    <comment ref="G14" authorId="0">
      <text>
        <r>
          <rPr>
            <b/>
            <sz val="9"/>
            <color indexed="81"/>
            <rFont val="Tahoma"/>
            <family val="2"/>
          </rPr>
          <t>KPSMER OPR25:</t>
        </r>
        <r>
          <rPr>
            <sz val="9"/>
            <color indexed="81"/>
            <rFont val="Tahoma"/>
            <family val="2"/>
          </rPr>
          <t xml:space="preserve">
</t>
        </r>
        <r>
          <rPr>
            <b/>
            <sz val="9"/>
            <color indexed="81"/>
            <rFont val="Tahoma"/>
            <family val="2"/>
          </rPr>
          <t>BARIS 20 KOLOM G</t>
        </r>
      </text>
    </comment>
    <comment ref="H14" authorId="0">
      <text>
        <r>
          <rPr>
            <b/>
            <sz val="9"/>
            <color indexed="81"/>
            <rFont val="Tahoma"/>
            <family val="2"/>
          </rPr>
          <t>KPSMER OPR25:</t>
        </r>
        <r>
          <rPr>
            <sz val="9"/>
            <color indexed="81"/>
            <rFont val="Tahoma"/>
            <family val="2"/>
          </rPr>
          <t xml:space="preserve">
</t>
        </r>
        <r>
          <rPr>
            <b/>
            <sz val="9"/>
            <color indexed="81"/>
            <rFont val="Tahoma"/>
            <family val="2"/>
          </rPr>
          <t>BARIS 20 KOLOM H</t>
        </r>
      </text>
    </comment>
    <comment ref="F15" authorId="0">
      <text>
        <r>
          <rPr>
            <b/>
            <sz val="9"/>
            <color indexed="81"/>
            <rFont val="Tahoma"/>
            <family val="2"/>
          </rPr>
          <t>KPSMER OPR25:</t>
        </r>
        <r>
          <rPr>
            <sz val="9"/>
            <color indexed="81"/>
            <rFont val="Tahoma"/>
            <family val="2"/>
          </rPr>
          <t xml:space="preserve">
</t>
        </r>
        <r>
          <rPr>
            <b/>
            <sz val="9"/>
            <color indexed="81"/>
            <rFont val="Tahoma"/>
            <family val="2"/>
          </rPr>
          <t>BARIS 21 KOLOM F</t>
        </r>
      </text>
    </comment>
    <comment ref="G15" authorId="0">
      <text>
        <r>
          <rPr>
            <b/>
            <sz val="9"/>
            <color indexed="81"/>
            <rFont val="Tahoma"/>
            <family val="2"/>
          </rPr>
          <t>KPSMER OPR25:</t>
        </r>
        <r>
          <rPr>
            <sz val="9"/>
            <color indexed="81"/>
            <rFont val="Tahoma"/>
            <family val="2"/>
          </rPr>
          <t xml:space="preserve">
</t>
        </r>
        <r>
          <rPr>
            <b/>
            <sz val="9"/>
            <color indexed="81"/>
            <rFont val="Tahoma"/>
            <family val="2"/>
          </rPr>
          <t>BARIS 21 KOLOM G</t>
        </r>
      </text>
    </comment>
    <comment ref="H15" authorId="0">
      <text>
        <r>
          <rPr>
            <b/>
            <sz val="9"/>
            <color indexed="81"/>
            <rFont val="Tahoma"/>
            <family val="2"/>
          </rPr>
          <t>KPSMER OPR25:</t>
        </r>
        <r>
          <rPr>
            <sz val="9"/>
            <color indexed="81"/>
            <rFont val="Tahoma"/>
            <family val="2"/>
          </rPr>
          <t xml:space="preserve">
</t>
        </r>
        <r>
          <rPr>
            <b/>
            <sz val="9"/>
            <color indexed="81"/>
            <rFont val="Tahoma"/>
            <family val="2"/>
          </rPr>
          <t>BARIS 21 KOLOM H</t>
        </r>
      </text>
    </comment>
    <comment ref="F16" authorId="0">
      <text>
        <r>
          <rPr>
            <b/>
            <sz val="9"/>
            <color indexed="81"/>
            <rFont val="Tahoma"/>
            <family val="2"/>
          </rPr>
          <t>KPSMER OPR25:</t>
        </r>
        <r>
          <rPr>
            <sz val="9"/>
            <color indexed="81"/>
            <rFont val="Tahoma"/>
            <family val="2"/>
          </rPr>
          <t xml:space="preserve">
</t>
        </r>
        <r>
          <rPr>
            <b/>
            <sz val="9"/>
            <color indexed="81"/>
            <rFont val="Tahoma"/>
            <family val="2"/>
          </rPr>
          <t>BARIS 22 KOLOM F</t>
        </r>
      </text>
    </comment>
    <comment ref="G16" authorId="0">
      <text>
        <r>
          <rPr>
            <b/>
            <sz val="9"/>
            <color indexed="81"/>
            <rFont val="Tahoma"/>
            <family val="2"/>
          </rPr>
          <t>KPSMER OPR25:</t>
        </r>
        <r>
          <rPr>
            <sz val="9"/>
            <color indexed="81"/>
            <rFont val="Tahoma"/>
            <family val="2"/>
          </rPr>
          <t xml:space="preserve">
</t>
        </r>
        <r>
          <rPr>
            <b/>
            <sz val="9"/>
            <color indexed="81"/>
            <rFont val="Tahoma"/>
            <family val="2"/>
          </rPr>
          <t>BARIS 22 KOLOM G</t>
        </r>
      </text>
    </comment>
    <comment ref="H16" authorId="0">
      <text>
        <r>
          <rPr>
            <b/>
            <sz val="9"/>
            <color indexed="81"/>
            <rFont val="Tahoma"/>
            <family val="2"/>
          </rPr>
          <t>KPSMER OPR25:</t>
        </r>
        <r>
          <rPr>
            <sz val="9"/>
            <color indexed="81"/>
            <rFont val="Tahoma"/>
            <family val="2"/>
          </rPr>
          <t xml:space="preserve">
</t>
        </r>
        <r>
          <rPr>
            <b/>
            <sz val="9"/>
            <color indexed="81"/>
            <rFont val="Tahoma"/>
            <family val="2"/>
          </rPr>
          <t>BARIS 22 KOLOM H</t>
        </r>
      </text>
    </comment>
    <comment ref="F17" authorId="0">
      <text>
        <r>
          <rPr>
            <b/>
            <sz val="9"/>
            <color indexed="81"/>
            <rFont val="Tahoma"/>
            <family val="2"/>
          </rPr>
          <t>KPSMER OPR25:</t>
        </r>
        <r>
          <rPr>
            <sz val="9"/>
            <color indexed="81"/>
            <rFont val="Tahoma"/>
            <family val="2"/>
          </rPr>
          <t xml:space="preserve">
</t>
        </r>
        <r>
          <rPr>
            <b/>
            <sz val="9"/>
            <color indexed="81"/>
            <rFont val="Tahoma"/>
            <family val="2"/>
          </rPr>
          <t>BARIS 23 KOLOM F</t>
        </r>
      </text>
    </comment>
    <comment ref="G17" authorId="0">
      <text>
        <r>
          <rPr>
            <b/>
            <sz val="9"/>
            <color indexed="81"/>
            <rFont val="Tahoma"/>
            <family val="2"/>
          </rPr>
          <t>KPSMER OPR25:</t>
        </r>
        <r>
          <rPr>
            <sz val="9"/>
            <color indexed="81"/>
            <rFont val="Tahoma"/>
            <family val="2"/>
          </rPr>
          <t xml:space="preserve">
</t>
        </r>
        <r>
          <rPr>
            <b/>
            <sz val="9"/>
            <color indexed="81"/>
            <rFont val="Tahoma"/>
            <family val="2"/>
          </rPr>
          <t>BARIS 23 KOLOM G</t>
        </r>
      </text>
    </comment>
    <comment ref="H17" authorId="0">
      <text>
        <r>
          <rPr>
            <b/>
            <sz val="9"/>
            <color indexed="81"/>
            <rFont val="Tahoma"/>
            <family val="2"/>
          </rPr>
          <t>KPSMER OPR25:</t>
        </r>
        <r>
          <rPr>
            <sz val="9"/>
            <color indexed="81"/>
            <rFont val="Tahoma"/>
            <family val="2"/>
          </rPr>
          <t xml:space="preserve">
</t>
        </r>
        <r>
          <rPr>
            <b/>
            <sz val="9"/>
            <color indexed="81"/>
            <rFont val="Tahoma"/>
            <family val="2"/>
          </rPr>
          <t>BARIS 23 KOLOM H</t>
        </r>
      </text>
    </comment>
    <comment ref="F18" authorId="0">
      <text>
        <r>
          <rPr>
            <b/>
            <sz val="9"/>
            <color indexed="81"/>
            <rFont val="Tahoma"/>
            <family val="2"/>
          </rPr>
          <t>KPSMER OPR25:</t>
        </r>
        <r>
          <rPr>
            <sz val="9"/>
            <color indexed="81"/>
            <rFont val="Tahoma"/>
            <family val="2"/>
          </rPr>
          <t xml:space="preserve">
</t>
        </r>
        <r>
          <rPr>
            <b/>
            <sz val="9"/>
            <color indexed="81"/>
            <rFont val="Tahoma"/>
            <family val="2"/>
          </rPr>
          <t>BARIS 24 KOLOM F</t>
        </r>
      </text>
    </comment>
    <comment ref="G18" authorId="0">
      <text>
        <r>
          <rPr>
            <b/>
            <sz val="9"/>
            <color indexed="81"/>
            <rFont val="Tahoma"/>
            <family val="2"/>
          </rPr>
          <t>KPSMER OPR25:</t>
        </r>
        <r>
          <rPr>
            <sz val="9"/>
            <color indexed="81"/>
            <rFont val="Tahoma"/>
            <family val="2"/>
          </rPr>
          <t xml:space="preserve">
</t>
        </r>
        <r>
          <rPr>
            <b/>
            <sz val="9"/>
            <color indexed="81"/>
            <rFont val="Tahoma"/>
            <family val="2"/>
          </rPr>
          <t>BARIS 24 KOLOM G</t>
        </r>
      </text>
    </comment>
    <comment ref="H18" authorId="0">
      <text>
        <r>
          <rPr>
            <b/>
            <sz val="9"/>
            <color indexed="81"/>
            <rFont val="Tahoma"/>
            <family val="2"/>
          </rPr>
          <t>KPSMER OPR25:</t>
        </r>
        <r>
          <rPr>
            <sz val="9"/>
            <color indexed="81"/>
            <rFont val="Tahoma"/>
            <family val="2"/>
          </rPr>
          <t xml:space="preserve">
</t>
        </r>
        <r>
          <rPr>
            <b/>
            <sz val="9"/>
            <color indexed="81"/>
            <rFont val="Tahoma"/>
            <family val="2"/>
          </rPr>
          <t>BARIS 24 KOLOM H</t>
        </r>
      </text>
    </comment>
    <comment ref="H19" authorId="0">
      <text>
        <r>
          <rPr>
            <b/>
            <sz val="9"/>
            <color indexed="81"/>
            <rFont val="Tahoma"/>
            <family val="2"/>
          </rPr>
          <t>KPSMER OPR25:</t>
        </r>
        <r>
          <rPr>
            <sz val="9"/>
            <color indexed="81"/>
            <rFont val="Tahoma"/>
            <family val="2"/>
          </rPr>
          <t xml:space="preserve">
</t>
        </r>
        <r>
          <rPr>
            <b/>
            <sz val="9"/>
            <color indexed="81"/>
            <rFont val="Tahoma"/>
            <family val="2"/>
          </rPr>
          <t>BARIS 27 KOLOM H</t>
        </r>
      </text>
    </comment>
    <comment ref="F20" authorId="0">
      <text>
        <r>
          <rPr>
            <b/>
            <sz val="9"/>
            <color indexed="81"/>
            <rFont val="Tahoma"/>
            <family val="2"/>
          </rPr>
          <t>FORM ATMR I.C</t>
        </r>
        <r>
          <rPr>
            <sz val="9"/>
            <color indexed="81"/>
            <rFont val="Tahoma"/>
            <family val="2"/>
          </rPr>
          <t xml:space="preserve">
</t>
        </r>
        <r>
          <rPr>
            <b/>
            <sz val="9"/>
            <color indexed="81"/>
            <rFont val="Tahoma"/>
            <family val="2"/>
          </rPr>
          <t>TOTALNYA HARUS SAMA DENGAN BRS 37 KOLOM F</t>
        </r>
      </text>
    </comment>
    <comment ref="G20" authorId="0">
      <text>
        <r>
          <rPr>
            <b/>
            <sz val="9"/>
            <color indexed="81"/>
            <rFont val="Tahoma"/>
            <family val="2"/>
          </rPr>
          <t>KPSMER OPR25:</t>
        </r>
        <r>
          <rPr>
            <sz val="9"/>
            <color indexed="81"/>
            <rFont val="Tahoma"/>
            <family val="2"/>
          </rPr>
          <t xml:space="preserve">
</t>
        </r>
        <r>
          <rPr>
            <b/>
            <sz val="9"/>
            <color indexed="81"/>
            <rFont val="Tahoma"/>
            <family val="2"/>
          </rPr>
          <t>TOTALNYA HARUS SAMA DENGAN BRS 37 KOLOM G</t>
        </r>
      </text>
    </comment>
    <comment ref="H20" authorId="0">
      <text>
        <r>
          <rPr>
            <b/>
            <sz val="9"/>
            <color indexed="81"/>
            <rFont val="Tahoma"/>
            <family val="2"/>
          </rPr>
          <t>KPSMER OPR25:</t>
        </r>
        <r>
          <rPr>
            <sz val="9"/>
            <color indexed="81"/>
            <rFont val="Tahoma"/>
            <family val="2"/>
          </rPr>
          <t xml:space="preserve">
</t>
        </r>
        <r>
          <rPr>
            <b/>
            <sz val="9"/>
            <color indexed="81"/>
            <rFont val="Tahoma"/>
            <family val="2"/>
          </rPr>
          <t>TOTALNYA HRS SAMA DENGAN TOTAL BARIS 37 KOLOM H</t>
        </r>
      </text>
    </comment>
    <comment ref="F28" authorId="0">
      <text>
        <r>
          <rPr>
            <b/>
            <sz val="9"/>
            <color indexed="81"/>
            <rFont val="Tahoma"/>
            <family val="2"/>
          </rPr>
          <t>KPSMER OPR25:</t>
        </r>
        <r>
          <rPr>
            <sz val="9"/>
            <color indexed="81"/>
            <rFont val="Tahoma"/>
            <family val="2"/>
          </rPr>
          <t xml:space="preserve">
</t>
        </r>
        <r>
          <rPr>
            <b/>
            <sz val="9"/>
            <color indexed="81"/>
            <rFont val="Tahoma"/>
            <family val="2"/>
          </rPr>
          <t>BARIS 44 KOLOM F</t>
        </r>
      </text>
    </comment>
    <comment ref="G28" authorId="0">
      <text>
        <r>
          <rPr>
            <b/>
            <sz val="9"/>
            <color indexed="81"/>
            <rFont val="Tahoma"/>
            <family val="2"/>
          </rPr>
          <t>KPSMER OPR25:</t>
        </r>
        <r>
          <rPr>
            <sz val="9"/>
            <color indexed="81"/>
            <rFont val="Tahoma"/>
            <family val="2"/>
          </rPr>
          <t xml:space="preserve">
</t>
        </r>
        <r>
          <rPr>
            <b/>
            <sz val="9"/>
            <color indexed="81"/>
            <rFont val="Tahoma"/>
            <family val="2"/>
          </rPr>
          <t>BARIS 44 KOLOM G</t>
        </r>
      </text>
    </comment>
    <comment ref="H28" authorId="0">
      <text>
        <r>
          <rPr>
            <b/>
            <sz val="9"/>
            <color indexed="81"/>
            <rFont val="Tahoma"/>
            <family val="2"/>
          </rPr>
          <t>KPSMER OPR25:</t>
        </r>
        <r>
          <rPr>
            <sz val="9"/>
            <color indexed="81"/>
            <rFont val="Tahoma"/>
            <family val="2"/>
          </rPr>
          <t xml:space="preserve">
</t>
        </r>
        <r>
          <rPr>
            <b/>
            <sz val="9"/>
            <color indexed="81"/>
            <rFont val="Tahoma"/>
            <family val="2"/>
          </rPr>
          <t>BARIS 44 KOLOM H</t>
        </r>
      </text>
    </comment>
    <comment ref="F29" authorId="0">
      <text>
        <r>
          <rPr>
            <b/>
            <sz val="9"/>
            <color indexed="81"/>
            <rFont val="Tahoma"/>
            <family val="2"/>
          </rPr>
          <t>KPSMER OPR25:</t>
        </r>
        <r>
          <rPr>
            <sz val="9"/>
            <color indexed="81"/>
            <rFont val="Tahoma"/>
            <family val="2"/>
          </rPr>
          <t xml:space="preserve">
</t>
        </r>
        <r>
          <rPr>
            <b/>
            <sz val="9"/>
            <color indexed="81"/>
            <rFont val="Tahoma"/>
            <family val="2"/>
          </rPr>
          <t>BARIS 47 KOLOM F</t>
        </r>
      </text>
    </comment>
    <comment ref="G29" authorId="0">
      <text>
        <r>
          <rPr>
            <b/>
            <sz val="9"/>
            <color indexed="81"/>
            <rFont val="Tahoma"/>
            <family val="2"/>
          </rPr>
          <t>KPSMER OPR25:</t>
        </r>
        <r>
          <rPr>
            <sz val="9"/>
            <color indexed="81"/>
            <rFont val="Tahoma"/>
            <family val="2"/>
          </rPr>
          <t xml:space="preserve">
</t>
        </r>
        <r>
          <rPr>
            <b/>
            <sz val="9"/>
            <color indexed="81"/>
            <rFont val="Tahoma"/>
            <family val="2"/>
          </rPr>
          <t>BARIS 47 KOLOM G</t>
        </r>
      </text>
    </comment>
    <comment ref="H29" authorId="0">
      <text>
        <r>
          <rPr>
            <b/>
            <sz val="9"/>
            <color indexed="81"/>
            <rFont val="Tahoma"/>
            <family val="2"/>
          </rPr>
          <t>KPSMER OPR25:</t>
        </r>
        <r>
          <rPr>
            <sz val="9"/>
            <color indexed="81"/>
            <rFont val="Tahoma"/>
            <family val="2"/>
          </rPr>
          <t xml:space="preserve">
</t>
        </r>
        <r>
          <rPr>
            <b/>
            <sz val="9"/>
            <color indexed="81"/>
            <rFont val="Tahoma"/>
            <family val="2"/>
          </rPr>
          <t>BARIS 47 KOLOM H</t>
        </r>
      </text>
    </comment>
    <comment ref="F30" authorId="0">
      <text>
        <r>
          <rPr>
            <b/>
            <sz val="9"/>
            <color indexed="81"/>
            <rFont val="Tahoma"/>
            <family val="2"/>
          </rPr>
          <t>KPSMER OPR25:</t>
        </r>
        <r>
          <rPr>
            <sz val="9"/>
            <color indexed="81"/>
            <rFont val="Tahoma"/>
            <family val="2"/>
          </rPr>
          <t xml:space="preserve">
</t>
        </r>
        <r>
          <rPr>
            <b/>
            <sz val="9"/>
            <color indexed="81"/>
            <rFont val="Tahoma"/>
            <family val="2"/>
          </rPr>
          <t>BARIS 48 KOLOM F</t>
        </r>
      </text>
    </comment>
    <comment ref="G30" authorId="0">
      <text>
        <r>
          <rPr>
            <b/>
            <sz val="9"/>
            <color indexed="81"/>
            <rFont val="Tahoma"/>
            <family val="2"/>
          </rPr>
          <t>KPSMER OPR25:</t>
        </r>
        <r>
          <rPr>
            <sz val="9"/>
            <color indexed="81"/>
            <rFont val="Tahoma"/>
            <family val="2"/>
          </rPr>
          <t xml:space="preserve">
</t>
        </r>
        <r>
          <rPr>
            <b/>
            <sz val="9"/>
            <color indexed="81"/>
            <rFont val="Tahoma"/>
            <family val="2"/>
          </rPr>
          <t>BARIS 48 KOLOM G</t>
        </r>
      </text>
    </comment>
    <comment ref="H30" authorId="0">
      <text>
        <r>
          <rPr>
            <b/>
            <sz val="9"/>
            <color indexed="81"/>
            <rFont val="Tahoma"/>
            <family val="2"/>
          </rPr>
          <t>KPSMER OPR25:</t>
        </r>
        <r>
          <rPr>
            <sz val="9"/>
            <color indexed="81"/>
            <rFont val="Tahoma"/>
            <family val="2"/>
          </rPr>
          <t xml:space="preserve">
</t>
        </r>
        <r>
          <rPr>
            <b/>
            <sz val="9"/>
            <color indexed="81"/>
            <rFont val="Tahoma"/>
            <family val="2"/>
          </rPr>
          <t>BARIS 48 KOLOM H</t>
        </r>
      </text>
    </comment>
    <comment ref="F31" authorId="0">
      <text>
        <r>
          <rPr>
            <b/>
            <sz val="9"/>
            <color indexed="81"/>
            <rFont val="Tahoma"/>
            <family val="2"/>
          </rPr>
          <t>KPSMER OPR25:</t>
        </r>
        <r>
          <rPr>
            <sz val="9"/>
            <color indexed="81"/>
            <rFont val="Tahoma"/>
            <family val="2"/>
          </rPr>
          <t xml:space="preserve">
</t>
        </r>
        <r>
          <rPr>
            <b/>
            <sz val="9"/>
            <color indexed="81"/>
            <rFont val="Tahoma"/>
            <family val="2"/>
          </rPr>
          <t>BARIS 49 KOLOM F</t>
        </r>
      </text>
    </comment>
    <comment ref="G31" authorId="0">
      <text>
        <r>
          <rPr>
            <b/>
            <sz val="9"/>
            <color indexed="81"/>
            <rFont val="Tahoma"/>
            <family val="2"/>
          </rPr>
          <t>KPSMER OPR25:</t>
        </r>
        <r>
          <rPr>
            <sz val="9"/>
            <color indexed="81"/>
            <rFont val="Tahoma"/>
            <family val="2"/>
          </rPr>
          <t xml:space="preserve">
</t>
        </r>
        <r>
          <rPr>
            <b/>
            <sz val="9"/>
            <color indexed="81"/>
            <rFont val="Tahoma"/>
            <family val="2"/>
          </rPr>
          <t>BARIS 49 KOLOM G</t>
        </r>
      </text>
    </comment>
    <comment ref="H31" authorId="0">
      <text>
        <r>
          <rPr>
            <b/>
            <sz val="9"/>
            <color indexed="81"/>
            <rFont val="Tahoma"/>
            <family val="2"/>
          </rPr>
          <t>KPSMER OPR25:</t>
        </r>
        <r>
          <rPr>
            <sz val="9"/>
            <color indexed="81"/>
            <rFont val="Tahoma"/>
            <family val="2"/>
          </rPr>
          <t xml:space="preserve">
</t>
        </r>
        <r>
          <rPr>
            <b/>
            <sz val="9"/>
            <color indexed="81"/>
            <rFont val="Tahoma"/>
            <family val="2"/>
          </rPr>
          <t>BARIS 49 KOLOM H</t>
        </r>
      </text>
    </comment>
    <comment ref="F32" authorId="0">
      <text>
        <r>
          <rPr>
            <b/>
            <sz val="9"/>
            <color indexed="81"/>
            <rFont val="Tahoma"/>
            <family val="2"/>
          </rPr>
          <t>KPSMER OPR25:</t>
        </r>
        <r>
          <rPr>
            <sz val="9"/>
            <color indexed="81"/>
            <rFont val="Tahoma"/>
            <family val="2"/>
          </rPr>
          <t xml:space="preserve">
</t>
        </r>
        <r>
          <rPr>
            <b/>
            <sz val="9"/>
            <color indexed="81"/>
            <rFont val="Tahoma"/>
            <family val="2"/>
          </rPr>
          <t>BARIS 52 KOLOM F</t>
        </r>
      </text>
    </comment>
    <comment ref="G32" authorId="0">
      <text>
        <r>
          <rPr>
            <b/>
            <sz val="9"/>
            <color indexed="81"/>
            <rFont val="Tahoma"/>
            <family val="2"/>
          </rPr>
          <t>KPSMER OPR25:</t>
        </r>
        <r>
          <rPr>
            <sz val="9"/>
            <color indexed="81"/>
            <rFont val="Tahoma"/>
            <family val="2"/>
          </rPr>
          <t xml:space="preserve">
</t>
        </r>
        <r>
          <rPr>
            <b/>
            <sz val="9"/>
            <color indexed="81"/>
            <rFont val="Tahoma"/>
            <family val="2"/>
          </rPr>
          <t>BARIS 52 KOLOM G</t>
        </r>
      </text>
    </comment>
    <comment ref="H32" authorId="0">
      <text>
        <r>
          <rPr>
            <b/>
            <sz val="9"/>
            <color indexed="81"/>
            <rFont val="Tahoma"/>
            <family val="2"/>
          </rPr>
          <t>KPSMER OPR25:</t>
        </r>
        <r>
          <rPr>
            <sz val="9"/>
            <color indexed="81"/>
            <rFont val="Tahoma"/>
            <family val="2"/>
          </rPr>
          <t xml:space="preserve">
</t>
        </r>
        <r>
          <rPr>
            <b/>
            <sz val="9"/>
            <color indexed="81"/>
            <rFont val="Tahoma"/>
            <family val="2"/>
          </rPr>
          <t>BARIS 52 KOLOM H</t>
        </r>
      </text>
    </comment>
    <comment ref="F33" authorId="0">
      <text>
        <r>
          <rPr>
            <b/>
            <sz val="9"/>
            <color indexed="81"/>
            <rFont val="Tahoma"/>
            <family val="2"/>
          </rPr>
          <t>KPSMER OPR25:
BARIS 53 KOLOM F</t>
        </r>
      </text>
    </comment>
    <comment ref="G33" authorId="0">
      <text>
        <r>
          <rPr>
            <b/>
            <sz val="9"/>
            <color indexed="81"/>
            <rFont val="Tahoma"/>
            <family val="2"/>
          </rPr>
          <t>KPSMER OPR25:</t>
        </r>
        <r>
          <rPr>
            <sz val="9"/>
            <color indexed="81"/>
            <rFont val="Tahoma"/>
            <family val="2"/>
          </rPr>
          <t xml:space="preserve">
</t>
        </r>
        <r>
          <rPr>
            <b/>
            <sz val="9"/>
            <color indexed="81"/>
            <rFont val="Tahoma"/>
            <family val="2"/>
          </rPr>
          <t>BARIS 53 KOLOM G</t>
        </r>
      </text>
    </comment>
    <comment ref="H33" authorId="0">
      <text>
        <r>
          <rPr>
            <b/>
            <sz val="9"/>
            <color indexed="81"/>
            <rFont val="Tahoma"/>
            <family val="2"/>
          </rPr>
          <t>KPSMER OPR25:</t>
        </r>
        <r>
          <rPr>
            <sz val="9"/>
            <color indexed="81"/>
            <rFont val="Tahoma"/>
            <family val="2"/>
          </rPr>
          <t xml:space="preserve">
</t>
        </r>
        <r>
          <rPr>
            <b/>
            <sz val="9"/>
            <color indexed="81"/>
            <rFont val="Tahoma"/>
            <family val="2"/>
          </rPr>
          <t>BARIS 53 KOLOM H</t>
        </r>
      </text>
    </comment>
    <comment ref="F34" authorId="0">
      <text>
        <r>
          <rPr>
            <b/>
            <sz val="9"/>
            <color indexed="81"/>
            <rFont val="Tahoma"/>
            <family val="2"/>
          </rPr>
          <t>KPSMER OPR25:</t>
        </r>
        <r>
          <rPr>
            <sz val="9"/>
            <color indexed="81"/>
            <rFont val="Tahoma"/>
            <family val="2"/>
          </rPr>
          <t xml:space="preserve">
</t>
        </r>
        <r>
          <rPr>
            <b/>
            <sz val="9"/>
            <color indexed="81"/>
            <rFont val="Tahoma"/>
            <family val="2"/>
          </rPr>
          <t>BARIS 54 KOLOM F</t>
        </r>
      </text>
    </comment>
    <comment ref="G34" authorId="0">
      <text>
        <r>
          <rPr>
            <b/>
            <sz val="9"/>
            <color indexed="81"/>
            <rFont val="Tahoma"/>
            <family val="2"/>
          </rPr>
          <t>KPSMER OPR25:</t>
        </r>
        <r>
          <rPr>
            <sz val="9"/>
            <color indexed="81"/>
            <rFont val="Tahoma"/>
            <family val="2"/>
          </rPr>
          <t xml:space="preserve">
</t>
        </r>
        <r>
          <rPr>
            <b/>
            <sz val="9"/>
            <color indexed="81"/>
            <rFont val="Tahoma"/>
            <family val="2"/>
          </rPr>
          <t>BARIS 54 KOLOM G</t>
        </r>
      </text>
    </comment>
    <comment ref="H34" authorId="0">
      <text>
        <r>
          <rPr>
            <b/>
            <sz val="9"/>
            <color indexed="81"/>
            <rFont val="Tahoma"/>
            <family val="2"/>
          </rPr>
          <t>KPSMER OPR25:</t>
        </r>
        <r>
          <rPr>
            <sz val="9"/>
            <color indexed="81"/>
            <rFont val="Tahoma"/>
            <family val="2"/>
          </rPr>
          <t xml:space="preserve">
</t>
        </r>
        <r>
          <rPr>
            <b/>
            <sz val="9"/>
            <color indexed="81"/>
            <rFont val="Tahoma"/>
            <family val="2"/>
          </rPr>
          <t>BARIS 54 KOLOM H</t>
        </r>
      </text>
    </comment>
    <comment ref="F35" authorId="0">
      <text>
        <r>
          <rPr>
            <b/>
            <sz val="9"/>
            <color indexed="81"/>
            <rFont val="Tahoma"/>
            <family val="2"/>
          </rPr>
          <t>KPSMER OPR25:</t>
        </r>
        <r>
          <rPr>
            <sz val="9"/>
            <color indexed="81"/>
            <rFont val="Tahoma"/>
            <family val="2"/>
          </rPr>
          <t xml:space="preserve">
</t>
        </r>
        <r>
          <rPr>
            <b/>
            <sz val="9"/>
            <color indexed="81"/>
            <rFont val="Tahoma"/>
            <family val="2"/>
          </rPr>
          <t>BARIS 55 KOLOM F</t>
        </r>
      </text>
    </comment>
    <comment ref="G35" authorId="0">
      <text>
        <r>
          <rPr>
            <b/>
            <sz val="9"/>
            <color indexed="81"/>
            <rFont val="Tahoma"/>
            <family val="2"/>
          </rPr>
          <t>KPSMER OPR25:</t>
        </r>
        <r>
          <rPr>
            <sz val="9"/>
            <color indexed="81"/>
            <rFont val="Tahoma"/>
            <family val="2"/>
          </rPr>
          <t xml:space="preserve">
</t>
        </r>
        <r>
          <rPr>
            <b/>
            <sz val="9"/>
            <color indexed="81"/>
            <rFont val="Tahoma"/>
            <family val="2"/>
          </rPr>
          <t>BARIS 55 KOLOM G</t>
        </r>
      </text>
    </comment>
    <comment ref="H35" authorId="0">
      <text>
        <r>
          <rPr>
            <b/>
            <sz val="9"/>
            <color indexed="81"/>
            <rFont val="Tahoma"/>
            <family val="2"/>
          </rPr>
          <t>KPSMER OPR25:</t>
        </r>
        <r>
          <rPr>
            <sz val="9"/>
            <color indexed="81"/>
            <rFont val="Tahoma"/>
            <family val="2"/>
          </rPr>
          <t xml:space="preserve">
</t>
        </r>
        <r>
          <rPr>
            <b/>
            <sz val="9"/>
            <color indexed="81"/>
            <rFont val="Tahoma"/>
            <family val="2"/>
          </rPr>
          <t>BARIS 55 KOLOM H</t>
        </r>
      </text>
    </comment>
    <comment ref="F36" authorId="0">
      <text>
        <r>
          <rPr>
            <b/>
            <sz val="9"/>
            <color indexed="81"/>
            <rFont val="Tahoma"/>
            <family val="2"/>
          </rPr>
          <t>KPSMER OPR25:</t>
        </r>
        <r>
          <rPr>
            <sz val="9"/>
            <color indexed="81"/>
            <rFont val="Tahoma"/>
            <family val="2"/>
          </rPr>
          <t xml:space="preserve">
</t>
        </r>
        <r>
          <rPr>
            <b/>
            <sz val="9"/>
            <color indexed="81"/>
            <rFont val="Tahoma"/>
            <family val="2"/>
          </rPr>
          <t>BARIS 56 KOLOM F</t>
        </r>
      </text>
    </comment>
    <comment ref="G36" authorId="0">
      <text>
        <r>
          <rPr>
            <b/>
            <sz val="9"/>
            <color indexed="81"/>
            <rFont val="Tahoma"/>
            <family val="2"/>
          </rPr>
          <t>KPSMER OPR25:</t>
        </r>
        <r>
          <rPr>
            <sz val="9"/>
            <color indexed="81"/>
            <rFont val="Tahoma"/>
            <family val="2"/>
          </rPr>
          <t xml:space="preserve">
</t>
        </r>
        <r>
          <rPr>
            <b/>
            <sz val="9"/>
            <color indexed="81"/>
            <rFont val="Tahoma"/>
            <family val="2"/>
          </rPr>
          <t>BARIS 56 KOLOM G</t>
        </r>
      </text>
    </comment>
    <comment ref="H36" authorId="0">
      <text>
        <r>
          <rPr>
            <b/>
            <sz val="9"/>
            <color indexed="81"/>
            <rFont val="Tahoma"/>
            <family val="2"/>
          </rPr>
          <t>KPSMER OPR25:</t>
        </r>
        <r>
          <rPr>
            <sz val="9"/>
            <color indexed="81"/>
            <rFont val="Tahoma"/>
            <family val="2"/>
          </rPr>
          <t xml:space="preserve">
</t>
        </r>
        <r>
          <rPr>
            <b/>
            <sz val="9"/>
            <color indexed="81"/>
            <rFont val="Tahoma"/>
            <family val="2"/>
          </rPr>
          <t>BARIS 56 KOLOM H</t>
        </r>
      </text>
    </comment>
    <comment ref="F37" authorId="0">
      <text>
        <r>
          <rPr>
            <b/>
            <sz val="9"/>
            <color indexed="81"/>
            <rFont val="Tahoma"/>
            <family val="2"/>
          </rPr>
          <t>KPSMER OPR25:</t>
        </r>
        <r>
          <rPr>
            <sz val="9"/>
            <color indexed="81"/>
            <rFont val="Tahoma"/>
            <family val="2"/>
          </rPr>
          <t xml:space="preserve">
</t>
        </r>
        <r>
          <rPr>
            <b/>
            <sz val="9"/>
            <color indexed="81"/>
            <rFont val="Tahoma"/>
            <family val="2"/>
          </rPr>
          <t>BARIS 57 KOLOM F</t>
        </r>
      </text>
    </comment>
    <comment ref="G37" authorId="0">
      <text>
        <r>
          <rPr>
            <b/>
            <sz val="9"/>
            <color indexed="81"/>
            <rFont val="Tahoma"/>
            <family val="2"/>
          </rPr>
          <t>KPSMER OPR25:</t>
        </r>
        <r>
          <rPr>
            <sz val="9"/>
            <color indexed="81"/>
            <rFont val="Tahoma"/>
            <family val="2"/>
          </rPr>
          <t xml:space="preserve">
</t>
        </r>
        <r>
          <rPr>
            <b/>
            <sz val="9"/>
            <color indexed="81"/>
            <rFont val="Tahoma"/>
            <family val="2"/>
          </rPr>
          <t>BARIS 57 KOLOM G</t>
        </r>
      </text>
    </comment>
    <comment ref="H37" authorId="0">
      <text>
        <r>
          <rPr>
            <b/>
            <sz val="9"/>
            <color indexed="81"/>
            <rFont val="Tahoma"/>
            <family val="2"/>
          </rPr>
          <t>KPSMER OPR25:</t>
        </r>
        <r>
          <rPr>
            <sz val="9"/>
            <color indexed="81"/>
            <rFont val="Tahoma"/>
            <family val="2"/>
          </rPr>
          <t xml:space="preserve">
</t>
        </r>
        <r>
          <rPr>
            <b/>
            <sz val="9"/>
            <color indexed="81"/>
            <rFont val="Tahoma"/>
            <family val="2"/>
          </rPr>
          <t>BARIS 57 KOLOM H</t>
        </r>
      </text>
    </comment>
    <comment ref="F38" authorId="0">
      <text>
        <r>
          <rPr>
            <b/>
            <sz val="9"/>
            <color indexed="81"/>
            <rFont val="Tahoma"/>
            <family val="2"/>
          </rPr>
          <t>FORM ATMR I.C</t>
        </r>
        <r>
          <rPr>
            <sz val="9"/>
            <color indexed="81"/>
            <rFont val="Tahoma"/>
            <family val="2"/>
          </rPr>
          <t xml:space="preserve">
</t>
        </r>
        <r>
          <rPr>
            <b/>
            <sz val="9"/>
            <color indexed="81"/>
            <rFont val="Tahoma"/>
            <family val="2"/>
          </rPr>
          <t>TOTALNYA HRS SAMA DENGAN BRS 60 KOLOM F</t>
        </r>
      </text>
    </comment>
    <comment ref="G38"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60 KOLOM G</t>
        </r>
      </text>
    </comment>
    <comment ref="H38"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60 KOLOM H</t>
        </r>
      </text>
    </comment>
    <comment ref="F46" authorId="0">
      <text>
        <r>
          <rPr>
            <b/>
            <sz val="9"/>
            <color indexed="81"/>
            <rFont val="Tahoma"/>
            <family val="2"/>
          </rPr>
          <t>KPSMER OPR25:</t>
        </r>
        <r>
          <rPr>
            <sz val="9"/>
            <color indexed="81"/>
            <rFont val="Tahoma"/>
            <family val="2"/>
          </rPr>
          <t xml:space="preserve">
</t>
        </r>
        <r>
          <rPr>
            <b/>
            <sz val="9"/>
            <color indexed="81"/>
            <rFont val="Tahoma"/>
            <family val="2"/>
          </rPr>
          <t>baris 67 kolom F</t>
        </r>
      </text>
    </comment>
    <comment ref="F53"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78 KOLOM F</t>
        </r>
      </text>
    </comment>
    <comment ref="F87" authorId="0">
      <text>
        <r>
          <rPr>
            <b/>
            <sz val="9"/>
            <color indexed="81"/>
            <rFont val="Tahoma"/>
            <family val="2"/>
          </rPr>
          <t>FORM ATMR I.C</t>
        </r>
        <r>
          <rPr>
            <sz val="9"/>
            <color indexed="81"/>
            <rFont val="Tahoma"/>
            <family val="2"/>
          </rPr>
          <t xml:space="preserve">
</t>
        </r>
        <r>
          <rPr>
            <b/>
            <sz val="9"/>
            <color indexed="81"/>
            <rFont val="Tahoma"/>
            <family val="2"/>
          </rPr>
          <t>TOTALNYA HARUS SAMA DENGAN BARIS 118 KOLOM G</t>
        </r>
      </text>
    </comment>
  </commentList>
</comments>
</file>

<file path=xl/comments17.xml><?xml version="1.0" encoding="utf-8"?>
<comments xmlns="http://schemas.openxmlformats.org/spreadsheetml/2006/main">
  <authors>
    <author>KPSMER OPR25</author>
  </authors>
  <commentList>
    <comment ref="F9" authorId="0">
      <text>
        <r>
          <rPr>
            <b/>
            <sz val="9"/>
            <color indexed="81"/>
            <rFont val="Tahoma"/>
            <charset val="1"/>
          </rPr>
          <t>KPSMER OPR25:</t>
        </r>
        <r>
          <rPr>
            <sz val="9"/>
            <color indexed="81"/>
            <rFont val="Tahoma"/>
            <charset val="1"/>
          </rPr>
          <t xml:space="preserve">
</t>
        </r>
        <r>
          <rPr>
            <b/>
            <sz val="9"/>
            <color indexed="81"/>
            <rFont val="Tahoma"/>
            <family val="2"/>
          </rPr>
          <t>ATMR I.C</t>
        </r>
        <r>
          <rPr>
            <sz val="9"/>
            <color indexed="81"/>
            <rFont val="Tahoma"/>
            <charset val="1"/>
          </rPr>
          <t xml:space="preserve"> </t>
        </r>
        <r>
          <rPr>
            <b/>
            <sz val="9"/>
            <color indexed="81"/>
            <rFont val="Tahoma"/>
            <family val="2"/>
          </rPr>
          <t>KOLOM F BARIS 11</t>
        </r>
      </text>
    </comment>
    <comment ref="G9" authorId="0">
      <text>
        <r>
          <rPr>
            <b/>
            <sz val="9"/>
            <color indexed="81"/>
            <rFont val="Tahoma"/>
            <family val="2"/>
          </rPr>
          <t>KPSMER OPR25:</t>
        </r>
        <r>
          <rPr>
            <sz val="9"/>
            <color indexed="81"/>
            <rFont val="Tahoma"/>
            <family val="2"/>
          </rPr>
          <t xml:space="preserve">
</t>
        </r>
        <r>
          <rPr>
            <b/>
            <sz val="9"/>
            <color indexed="81"/>
            <rFont val="Tahoma"/>
            <family val="2"/>
          </rPr>
          <t>BARIS 11 KOLOM G</t>
        </r>
      </text>
    </comment>
    <comment ref="H9" authorId="0">
      <text>
        <r>
          <rPr>
            <b/>
            <sz val="9"/>
            <color indexed="81"/>
            <rFont val="Tahoma"/>
            <family val="2"/>
          </rPr>
          <t>KPSMER OPR25:</t>
        </r>
        <r>
          <rPr>
            <sz val="9"/>
            <color indexed="81"/>
            <rFont val="Tahoma"/>
            <family val="2"/>
          </rPr>
          <t xml:space="preserve">
</t>
        </r>
        <r>
          <rPr>
            <b/>
            <sz val="9"/>
            <color indexed="81"/>
            <rFont val="Tahoma"/>
            <family val="2"/>
          </rPr>
          <t>BARIS 11 KOLOM H</t>
        </r>
      </text>
    </comment>
    <comment ref="I9" authorId="0">
      <text>
        <r>
          <rPr>
            <b/>
            <sz val="9"/>
            <color indexed="81"/>
            <rFont val="Tahoma"/>
            <charset val="1"/>
          </rPr>
          <t>KPSMER OPR25:</t>
        </r>
        <r>
          <rPr>
            <sz val="9"/>
            <color indexed="81"/>
            <rFont val="Tahoma"/>
            <charset val="1"/>
          </rPr>
          <t xml:space="preserve">
</t>
        </r>
        <r>
          <rPr>
            <b/>
            <sz val="9"/>
            <color indexed="81"/>
            <rFont val="Tahoma"/>
            <family val="2"/>
          </rPr>
          <t>ATMR I.C</t>
        </r>
        <r>
          <rPr>
            <sz val="9"/>
            <color indexed="81"/>
            <rFont val="Tahoma"/>
            <charset val="1"/>
          </rPr>
          <t xml:space="preserve"> </t>
        </r>
        <r>
          <rPr>
            <b/>
            <sz val="9"/>
            <color indexed="81"/>
            <rFont val="Tahoma"/>
            <family val="2"/>
          </rPr>
          <t>KOLOM F BARIS 11</t>
        </r>
      </text>
    </comment>
    <comment ref="J9" authorId="0">
      <text>
        <r>
          <rPr>
            <b/>
            <sz val="9"/>
            <color indexed="81"/>
            <rFont val="Tahoma"/>
            <family val="2"/>
          </rPr>
          <t>KPSMER OPR25:</t>
        </r>
        <r>
          <rPr>
            <sz val="9"/>
            <color indexed="81"/>
            <rFont val="Tahoma"/>
            <family val="2"/>
          </rPr>
          <t xml:space="preserve">
</t>
        </r>
        <r>
          <rPr>
            <b/>
            <sz val="9"/>
            <color indexed="81"/>
            <rFont val="Tahoma"/>
            <family val="2"/>
          </rPr>
          <t>BARIS 11 KOLOM G</t>
        </r>
      </text>
    </comment>
    <comment ref="K9" authorId="0">
      <text>
        <r>
          <rPr>
            <b/>
            <sz val="9"/>
            <color indexed="81"/>
            <rFont val="Tahoma"/>
            <family val="2"/>
          </rPr>
          <t>KPSMER OPR25:</t>
        </r>
        <r>
          <rPr>
            <sz val="9"/>
            <color indexed="81"/>
            <rFont val="Tahoma"/>
            <family val="2"/>
          </rPr>
          <t xml:space="preserve">
</t>
        </r>
        <r>
          <rPr>
            <b/>
            <sz val="9"/>
            <color indexed="81"/>
            <rFont val="Tahoma"/>
            <family val="2"/>
          </rPr>
          <t>BARIS 11 KOLOM H</t>
        </r>
      </text>
    </comment>
    <comment ref="F10" authorId="0">
      <text>
        <r>
          <rPr>
            <b/>
            <sz val="9"/>
            <color indexed="81"/>
            <rFont val="Tahoma"/>
            <family val="2"/>
          </rPr>
          <t>KPSMER OPR25:</t>
        </r>
        <r>
          <rPr>
            <sz val="9"/>
            <color indexed="81"/>
            <rFont val="Tahoma"/>
            <family val="2"/>
          </rPr>
          <t xml:space="preserve">
</t>
        </r>
        <r>
          <rPr>
            <b/>
            <sz val="9"/>
            <color indexed="81"/>
            <rFont val="Tahoma"/>
            <family val="2"/>
          </rPr>
          <t>BARIS 14 KOLOM F</t>
        </r>
      </text>
    </comment>
    <comment ref="G10" authorId="0">
      <text>
        <r>
          <rPr>
            <b/>
            <sz val="9"/>
            <color indexed="81"/>
            <rFont val="Tahoma"/>
            <family val="2"/>
          </rPr>
          <t>KPSMER OPR25:</t>
        </r>
        <r>
          <rPr>
            <sz val="9"/>
            <color indexed="81"/>
            <rFont val="Tahoma"/>
            <family val="2"/>
          </rPr>
          <t xml:space="preserve">
</t>
        </r>
        <r>
          <rPr>
            <b/>
            <sz val="9"/>
            <color indexed="81"/>
            <rFont val="Tahoma"/>
            <family val="2"/>
          </rPr>
          <t>BARIS 14 KOLOM G</t>
        </r>
      </text>
    </comment>
    <comment ref="H10" authorId="0">
      <text>
        <r>
          <rPr>
            <b/>
            <sz val="9"/>
            <color indexed="81"/>
            <rFont val="Tahoma"/>
            <family val="2"/>
          </rPr>
          <t>KPSMER OPR25:</t>
        </r>
        <r>
          <rPr>
            <sz val="9"/>
            <color indexed="81"/>
            <rFont val="Tahoma"/>
            <family val="2"/>
          </rPr>
          <t xml:space="preserve">
</t>
        </r>
        <r>
          <rPr>
            <b/>
            <sz val="9"/>
            <color indexed="81"/>
            <rFont val="Tahoma"/>
            <family val="2"/>
          </rPr>
          <t>BARIS 14 KOLOM H</t>
        </r>
      </text>
    </comment>
    <comment ref="I10" authorId="0">
      <text>
        <r>
          <rPr>
            <b/>
            <sz val="9"/>
            <color indexed="81"/>
            <rFont val="Tahoma"/>
            <family val="2"/>
          </rPr>
          <t>KPSMER OPR25:</t>
        </r>
        <r>
          <rPr>
            <sz val="9"/>
            <color indexed="81"/>
            <rFont val="Tahoma"/>
            <family val="2"/>
          </rPr>
          <t xml:space="preserve">
</t>
        </r>
        <r>
          <rPr>
            <b/>
            <sz val="9"/>
            <color indexed="81"/>
            <rFont val="Tahoma"/>
            <family val="2"/>
          </rPr>
          <t>BARIS 14 KOLOM F</t>
        </r>
      </text>
    </comment>
    <comment ref="J10" authorId="0">
      <text>
        <r>
          <rPr>
            <b/>
            <sz val="9"/>
            <color indexed="81"/>
            <rFont val="Tahoma"/>
            <family val="2"/>
          </rPr>
          <t>KPSMER OPR25:</t>
        </r>
        <r>
          <rPr>
            <sz val="9"/>
            <color indexed="81"/>
            <rFont val="Tahoma"/>
            <family val="2"/>
          </rPr>
          <t xml:space="preserve">
</t>
        </r>
        <r>
          <rPr>
            <b/>
            <sz val="9"/>
            <color indexed="81"/>
            <rFont val="Tahoma"/>
            <family val="2"/>
          </rPr>
          <t>BARIS 14 KOLOM G</t>
        </r>
      </text>
    </comment>
    <comment ref="K10" authorId="0">
      <text>
        <r>
          <rPr>
            <b/>
            <sz val="9"/>
            <color indexed="81"/>
            <rFont val="Tahoma"/>
            <family val="2"/>
          </rPr>
          <t>KPSMER OPR25:</t>
        </r>
        <r>
          <rPr>
            <sz val="9"/>
            <color indexed="81"/>
            <rFont val="Tahoma"/>
            <family val="2"/>
          </rPr>
          <t xml:space="preserve">
</t>
        </r>
        <r>
          <rPr>
            <b/>
            <sz val="9"/>
            <color indexed="81"/>
            <rFont val="Tahoma"/>
            <family val="2"/>
          </rPr>
          <t>BARIS 14 KOLOM H</t>
        </r>
      </text>
    </comment>
    <comment ref="F11" authorId="0">
      <text>
        <r>
          <rPr>
            <b/>
            <sz val="9"/>
            <color indexed="81"/>
            <rFont val="Tahoma"/>
            <family val="2"/>
          </rPr>
          <t>KPSMER
BARIS 15 KOLOM F</t>
        </r>
      </text>
    </comment>
    <comment ref="G11" authorId="0">
      <text>
        <r>
          <rPr>
            <b/>
            <sz val="9"/>
            <color indexed="81"/>
            <rFont val="Tahoma"/>
            <family val="2"/>
          </rPr>
          <t>KPSMER OPR25:</t>
        </r>
        <r>
          <rPr>
            <sz val="9"/>
            <color indexed="81"/>
            <rFont val="Tahoma"/>
            <family val="2"/>
          </rPr>
          <t xml:space="preserve">
</t>
        </r>
        <r>
          <rPr>
            <b/>
            <sz val="9"/>
            <color indexed="81"/>
            <rFont val="Tahoma"/>
            <family val="2"/>
          </rPr>
          <t>BARIS 15 KOLOM G</t>
        </r>
      </text>
    </comment>
    <comment ref="H11" authorId="0">
      <text>
        <r>
          <rPr>
            <b/>
            <sz val="9"/>
            <color indexed="81"/>
            <rFont val="Tahoma"/>
            <family val="2"/>
          </rPr>
          <t>KPSMER OPR25:</t>
        </r>
        <r>
          <rPr>
            <sz val="9"/>
            <color indexed="81"/>
            <rFont val="Tahoma"/>
            <family val="2"/>
          </rPr>
          <t xml:space="preserve">
</t>
        </r>
        <r>
          <rPr>
            <b/>
            <sz val="9"/>
            <color indexed="81"/>
            <rFont val="Tahoma"/>
            <family val="2"/>
          </rPr>
          <t>BARIS 15 KOLOM H</t>
        </r>
      </text>
    </comment>
    <comment ref="I11" authorId="0">
      <text>
        <r>
          <rPr>
            <b/>
            <sz val="9"/>
            <color indexed="81"/>
            <rFont val="Tahoma"/>
            <family val="2"/>
          </rPr>
          <t>KPSMER
BARIS 15 KOLOM F</t>
        </r>
      </text>
    </comment>
    <comment ref="J11" authorId="0">
      <text>
        <r>
          <rPr>
            <b/>
            <sz val="9"/>
            <color indexed="81"/>
            <rFont val="Tahoma"/>
            <family val="2"/>
          </rPr>
          <t>KPSMER OPR25:</t>
        </r>
        <r>
          <rPr>
            <sz val="9"/>
            <color indexed="81"/>
            <rFont val="Tahoma"/>
            <family val="2"/>
          </rPr>
          <t xml:space="preserve">
</t>
        </r>
        <r>
          <rPr>
            <b/>
            <sz val="9"/>
            <color indexed="81"/>
            <rFont val="Tahoma"/>
            <family val="2"/>
          </rPr>
          <t>BARIS 15 KOLOM G</t>
        </r>
      </text>
    </comment>
    <comment ref="K11" authorId="0">
      <text>
        <r>
          <rPr>
            <b/>
            <sz val="9"/>
            <color indexed="81"/>
            <rFont val="Tahoma"/>
            <family val="2"/>
          </rPr>
          <t>KPSMER OPR25:</t>
        </r>
        <r>
          <rPr>
            <sz val="9"/>
            <color indexed="81"/>
            <rFont val="Tahoma"/>
            <family val="2"/>
          </rPr>
          <t xml:space="preserve">
</t>
        </r>
        <r>
          <rPr>
            <b/>
            <sz val="9"/>
            <color indexed="81"/>
            <rFont val="Tahoma"/>
            <family val="2"/>
          </rPr>
          <t>BARIS 15 KOLOM H</t>
        </r>
      </text>
    </comment>
    <comment ref="F12" authorId="0">
      <text>
        <r>
          <rPr>
            <b/>
            <sz val="9"/>
            <color indexed="81"/>
            <rFont val="Tahoma"/>
            <family val="2"/>
          </rPr>
          <t>KPSMER OPR25:</t>
        </r>
        <r>
          <rPr>
            <sz val="9"/>
            <color indexed="81"/>
            <rFont val="Tahoma"/>
            <family val="2"/>
          </rPr>
          <t xml:space="preserve">
</t>
        </r>
        <r>
          <rPr>
            <b/>
            <sz val="9"/>
            <color indexed="81"/>
            <rFont val="Tahoma"/>
            <family val="2"/>
          </rPr>
          <t>BARIS 16 KOLOM F</t>
        </r>
      </text>
    </comment>
    <comment ref="G12" authorId="0">
      <text>
        <r>
          <rPr>
            <b/>
            <sz val="9"/>
            <color indexed="81"/>
            <rFont val="Tahoma"/>
            <family val="2"/>
          </rPr>
          <t>KPSMER OPR25:</t>
        </r>
        <r>
          <rPr>
            <sz val="9"/>
            <color indexed="81"/>
            <rFont val="Tahoma"/>
            <family val="2"/>
          </rPr>
          <t xml:space="preserve">
</t>
        </r>
        <r>
          <rPr>
            <b/>
            <sz val="9"/>
            <color indexed="81"/>
            <rFont val="Tahoma"/>
            <family val="2"/>
          </rPr>
          <t>BARIS 16 KOLOM G</t>
        </r>
      </text>
    </comment>
    <comment ref="H12" authorId="0">
      <text>
        <r>
          <rPr>
            <b/>
            <sz val="9"/>
            <color indexed="81"/>
            <rFont val="Tahoma"/>
            <family val="2"/>
          </rPr>
          <t>KPSMER OPR25:</t>
        </r>
        <r>
          <rPr>
            <sz val="9"/>
            <color indexed="81"/>
            <rFont val="Tahoma"/>
            <family val="2"/>
          </rPr>
          <t xml:space="preserve">
</t>
        </r>
        <r>
          <rPr>
            <b/>
            <sz val="9"/>
            <color indexed="81"/>
            <rFont val="Tahoma"/>
            <family val="2"/>
          </rPr>
          <t>BARIS 16 KOLOM H</t>
        </r>
      </text>
    </comment>
    <comment ref="I12" authorId="0">
      <text>
        <r>
          <rPr>
            <b/>
            <sz val="9"/>
            <color indexed="81"/>
            <rFont val="Tahoma"/>
            <family val="2"/>
          </rPr>
          <t>KPSMER OPR25:</t>
        </r>
        <r>
          <rPr>
            <sz val="9"/>
            <color indexed="81"/>
            <rFont val="Tahoma"/>
            <family val="2"/>
          </rPr>
          <t xml:space="preserve">
</t>
        </r>
        <r>
          <rPr>
            <b/>
            <sz val="9"/>
            <color indexed="81"/>
            <rFont val="Tahoma"/>
            <family val="2"/>
          </rPr>
          <t>BARIS 16 KOLOM F</t>
        </r>
      </text>
    </comment>
    <comment ref="J12" authorId="0">
      <text>
        <r>
          <rPr>
            <b/>
            <sz val="9"/>
            <color indexed="81"/>
            <rFont val="Tahoma"/>
            <family val="2"/>
          </rPr>
          <t>KPSMER OPR25:</t>
        </r>
        <r>
          <rPr>
            <sz val="9"/>
            <color indexed="81"/>
            <rFont val="Tahoma"/>
            <family val="2"/>
          </rPr>
          <t xml:space="preserve">
</t>
        </r>
        <r>
          <rPr>
            <b/>
            <sz val="9"/>
            <color indexed="81"/>
            <rFont val="Tahoma"/>
            <family val="2"/>
          </rPr>
          <t>BARIS 16 KOLOM G</t>
        </r>
      </text>
    </comment>
    <comment ref="K12" authorId="0">
      <text>
        <r>
          <rPr>
            <b/>
            <sz val="9"/>
            <color indexed="81"/>
            <rFont val="Tahoma"/>
            <family val="2"/>
          </rPr>
          <t>KPSMER OPR25:</t>
        </r>
        <r>
          <rPr>
            <sz val="9"/>
            <color indexed="81"/>
            <rFont val="Tahoma"/>
            <family val="2"/>
          </rPr>
          <t xml:space="preserve">
</t>
        </r>
        <r>
          <rPr>
            <b/>
            <sz val="9"/>
            <color indexed="81"/>
            <rFont val="Tahoma"/>
            <family val="2"/>
          </rPr>
          <t>BARIS 16 KOLOM H</t>
        </r>
      </text>
    </comment>
    <comment ref="F13" authorId="0">
      <text>
        <r>
          <rPr>
            <b/>
            <sz val="9"/>
            <color indexed="81"/>
            <rFont val="Tahoma"/>
            <family val="2"/>
          </rPr>
          <t>KPSMER OPR25:</t>
        </r>
        <r>
          <rPr>
            <sz val="9"/>
            <color indexed="81"/>
            <rFont val="Tahoma"/>
            <family val="2"/>
          </rPr>
          <t xml:space="preserve">
</t>
        </r>
        <r>
          <rPr>
            <b/>
            <sz val="9"/>
            <color indexed="81"/>
            <rFont val="Tahoma"/>
            <family val="2"/>
          </rPr>
          <t>BARIS 19 KOLOM F</t>
        </r>
      </text>
    </comment>
    <comment ref="G13" authorId="0">
      <text>
        <r>
          <rPr>
            <b/>
            <sz val="9"/>
            <color indexed="81"/>
            <rFont val="Tahoma"/>
            <family val="2"/>
          </rPr>
          <t>KPSMER OPR25:</t>
        </r>
        <r>
          <rPr>
            <sz val="9"/>
            <color indexed="81"/>
            <rFont val="Tahoma"/>
            <family val="2"/>
          </rPr>
          <t xml:space="preserve">
</t>
        </r>
        <r>
          <rPr>
            <b/>
            <sz val="9"/>
            <color indexed="81"/>
            <rFont val="Tahoma"/>
            <family val="2"/>
          </rPr>
          <t>BARIS 19 KOLOM G</t>
        </r>
      </text>
    </comment>
    <comment ref="H13" authorId="0">
      <text>
        <r>
          <rPr>
            <b/>
            <sz val="9"/>
            <color indexed="81"/>
            <rFont val="Tahoma"/>
            <family val="2"/>
          </rPr>
          <t>KPSMER OPR25:</t>
        </r>
        <r>
          <rPr>
            <sz val="9"/>
            <color indexed="81"/>
            <rFont val="Tahoma"/>
            <family val="2"/>
          </rPr>
          <t xml:space="preserve">
</t>
        </r>
        <r>
          <rPr>
            <b/>
            <sz val="9"/>
            <color indexed="81"/>
            <rFont val="Tahoma"/>
            <family val="2"/>
          </rPr>
          <t>BARIS 19 KOLOM H</t>
        </r>
      </text>
    </comment>
    <comment ref="I13" authorId="0">
      <text>
        <r>
          <rPr>
            <b/>
            <sz val="9"/>
            <color indexed="81"/>
            <rFont val="Tahoma"/>
            <family val="2"/>
          </rPr>
          <t>KPSMER OPR25:</t>
        </r>
        <r>
          <rPr>
            <sz val="9"/>
            <color indexed="81"/>
            <rFont val="Tahoma"/>
            <family val="2"/>
          </rPr>
          <t xml:space="preserve">
</t>
        </r>
        <r>
          <rPr>
            <b/>
            <sz val="9"/>
            <color indexed="81"/>
            <rFont val="Tahoma"/>
            <family val="2"/>
          </rPr>
          <t>BARIS 19 KOLOM F</t>
        </r>
      </text>
    </comment>
    <comment ref="J13" authorId="0">
      <text>
        <r>
          <rPr>
            <b/>
            <sz val="9"/>
            <color indexed="81"/>
            <rFont val="Tahoma"/>
            <family val="2"/>
          </rPr>
          <t>KPSMER OPR25:</t>
        </r>
        <r>
          <rPr>
            <sz val="9"/>
            <color indexed="81"/>
            <rFont val="Tahoma"/>
            <family val="2"/>
          </rPr>
          <t xml:space="preserve">
</t>
        </r>
        <r>
          <rPr>
            <b/>
            <sz val="9"/>
            <color indexed="81"/>
            <rFont val="Tahoma"/>
            <family val="2"/>
          </rPr>
          <t>BARIS 19 KOLOM G</t>
        </r>
      </text>
    </comment>
    <comment ref="K13" authorId="0">
      <text>
        <r>
          <rPr>
            <b/>
            <sz val="9"/>
            <color indexed="81"/>
            <rFont val="Tahoma"/>
            <family val="2"/>
          </rPr>
          <t>KPSMER OPR25:</t>
        </r>
        <r>
          <rPr>
            <sz val="9"/>
            <color indexed="81"/>
            <rFont val="Tahoma"/>
            <family val="2"/>
          </rPr>
          <t xml:space="preserve">
</t>
        </r>
        <r>
          <rPr>
            <b/>
            <sz val="9"/>
            <color indexed="81"/>
            <rFont val="Tahoma"/>
            <family val="2"/>
          </rPr>
          <t>BARIS 19 KOLOM H</t>
        </r>
      </text>
    </comment>
    <comment ref="F14" authorId="0">
      <text>
        <r>
          <rPr>
            <b/>
            <sz val="9"/>
            <color indexed="81"/>
            <rFont val="Tahoma"/>
            <family val="2"/>
          </rPr>
          <t>KPSMER OPR25:</t>
        </r>
        <r>
          <rPr>
            <sz val="9"/>
            <color indexed="81"/>
            <rFont val="Tahoma"/>
            <family val="2"/>
          </rPr>
          <t xml:space="preserve">
</t>
        </r>
        <r>
          <rPr>
            <b/>
            <sz val="9"/>
            <color indexed="81"/>
            <rFont val="Tahoma"/>
            <family val="2"/>
          </rPr>
          <t>BARIS 20 KOLOM F</t>
        </r>
      </text>
    </comment>
    <comment ref="G14" authorId="0">
      <text>
        <r>
          <rPr>
            <b/>
            <sz val="9"/>
            <color indexed="81"/>
            <rFont val="Tahoma"/>
            <family val="2"/>
          </rPr>
          <t>KPSMER OPR25:</t>
        </r>
        <r>
          <rPr>
            <sz val="9"/>
            <color indexed="81"/>
            <rFont val="Tahoma"/>
            <family val="2"/>
          </rPr>
          <t xml:space="preserve">
</t>
        </r>
        <r>
          <rPr>
            <b/>
            <sz val="9"/>
            <color indexed="81"/>
            <rFont val="Tahoma"/>
            <family val="2"/>
          </rPr>
          <t>BARIS 20 KOLOM G</t>
        </r>
      </text>
    </comment>
    <comment ref="H14" authorId="0">
      <text>
        <r>
          <rPr>
            <b/>
            <sz val="9"/>
            <color indexed="81"/>
            <rFont val="Tahoma"/>
            <family val="2"/>
          </rPr>
          <t>KPSMER OPR25:</t>
        </r>
        <r>
          <rPr>
            <sz val="9"/>
            <color indexed="81"/>
            <rFont val="Tahoma"/>
            <family val="2"/>
          </rPr>
          <t xml:space="preserve">
</t>
        </r>
        <r>
          <rPr>
            <b/>
            <sz val="9"/>
            <color indexed="81"/>
            <rFont val="Tahoma"/>
            <family val="2"/>
          </rPr>
          <t>BARIS 20 KOLOM H</t>
        </r>
      </text>
    </comment>
    <comment ref="I14" authorId="0">
      <text>
        <r>
          <rPr>
            <b/>
            <sz val="9"/>
            <color indexed="81"/>
            <rFont val="Tahoma"/>
            <family val="2"/>
          </rPr>
          <t>KPSMER OPR25:</t>
        </r>
        <r>
          <rPr>
            <sz val="9"/>
            <color indexed="81"/>
            <rFont val="Tahoma"/>
            <family val="2"/>
          </rPr>
          <t xml:space="preserve">
</t>
        </r>
        <r>
          <rPr>
            <b/>
            <sz val="9"/>
            <color indexed="81"/>
            <rFont val="Tahoma"/>
            <family val="2"/>
          </rPr>
          <t>BARIS 20 KOLOM F</t>
        </r>
      </text>
    </comment>
    <comment ref="J14" authorId="0">
      <text>
        <r>
          <rPr>
            <b/>
            <sz val="9"/>
            <color indexed="81"/>
            <rFont val="Tahoma"/>
            <family val="2"/>
          </rPr>
          <t>KPSMER OPR25:</t>
        </r>
        <r>
          <rPr>
            <sz val="9"/>
            <color indexed="81"/>
            <rFont val="Tahoma"/>
            <family val="2"/>
          </rPr>
          <t xml:space="preserve">
</t>
        </r>
        <r>
          <rPr>
            <b/>
            <sz val="9"/>
            <color indexed="81"/>
            <rFont val="Tahoma"/>
            <family val="2"/>
          </rPr>
          <t>BARIS 20 KOLOM G</t>
        </r>
      </text>
    </comment>
    <comment ref="K14" authorId="0">
      <text>
        <r>
          <rPr>
            <b/>
            <sz val="9"/>
            <color indexed="81"/>
            <rFont val="Tahoma"/>
            <family val="2"/>
          </rPr>
          <t>KPSMER OPR25:</t>
        </r>
        <r>
          <rPr>
            <sz val="9"/>
            <color indexed="81"/>
            <rFont val="Tahoma"/>
            <family val="2"/>
          </rPr>
          <t xml:space="preserve">
</t>
        </r>
        <r>
          <rPr>
            <b/>
            <sz val="9"/>
            <color indexed="81"/>
            <rFont val="Tahoma"/>
            <family val="2"/>
          </rPr>
          <t>BARIS 20 KOLOM H</t>
        </r>
      </text>
    </comment>
    <comment ref="F15" authorId="0">
      <text>
        <r>
          <rPr>
            <b/>
            <sz val="9"/>
            <color indexed="81"/>
            <rFont val="Tahoma"/>
            <family val="2"/>
          </rPr>
          <t>KPSMER OPR25:</t>
        </r>
        <r>
          <rPr>
            <sz val="9"/>
            <color indexed="81"/>
            <rFont val="Tahoma"/>
            <family val="2"/>
          </rPr>
          <t xml:space="preserve">
</t>
        </r>
        <r>
          <rPr>
            <b/>
            <sz val="9"/>
            <color indexed="81"/>
            <rFont val="Tahoma"/>
            <family val="2"/>
          </rPr>
          <t>BARIS 21 KOLOM F</t>
        </r>
      </text>
    </comment>
    <comment ref="G15" authorId="0">
      <text>
        <r>
          <rPr>
            <b/>
            <sz val="9"/>
            <color indexed="81"/>
            <rFont val="Tahoma"/>
            <family val="2"/>
          </rPr>
          <t>KPSMER OPR25:</t>
        </r>
        <r>
          <rPr>
            <sz val="9"/>
            <color indexed="81"/>
            <rFont val="Tahoma"/>
            <family val="2"/>
          </rPr>
          <t xml:space="preserve">
</t>
        </r>
        <r>
          <rPr>
            <b/>
            <sz val="9"/>
            <color indexed="81"/>
            <rFont val="Tahoma"/>
            <family val="2"/>
          </rPr>
          <t>BARIS 21 KOLOM G</t>
        </r>
      </text>
    </comment>
    <comment ref="H15" authorId="0">
      <text>
        <r>
          <rPr>
            <b/>
            <sz val="9"/>
            <color indexed="81"/>
            <rFont val="Tahoma"/>
            <family val="2"/>
          </rPr>
          <t>KPSMER OPR25:</t>
        </r>
        <r>
          <rPr>
            <sz val="9"/>
            <color indexed="81"/>
            <rFont val="Tahoma"/>
            <family val="2"/>
          </rPr>
          <t xml:space="preserve">
</t>
        </r>
        <r>
          <rPr>
            <b/>
            <sz val="9"/>
            <color indexed="81"/>
            <rFont val="Tahoma"/>
            <family val="2"/>
          </rPr>
          <t>BARIS 21 KOLOM H</t>
        </r>
      </text>
    </comment>
    <comment ref="I15" authorId="0">
      <text>
        <r>
          <rPr>
            <b/>
            <sz val="9"/>
            <color indexed="81"/>
            <rFont val="Tahoma"/>
            <family val="2"/>
          </rPr>
          <t>KPSMER OPR25:</t>
        </r>
        <r>
          <rPr>
            <sz val="9"/>
            <color indexed="81"/>
            <rFont val="Tahoma"/>
            <family val="2"/>
          </rPr>
          <t xml:space="preserve">
</t>
        </r>
        <r>
          <rPr>
            <b/>
            <sz val="9"/>
            <color indexed="81"/>
            <rFont val="Tahoma"/>
            <family val="2"/>
          </rPr>
          <t>BARIS 21 KOLOM F</t>
        </r>
      </text>
    </comment>
    <comment ref="J15" authorId="0">
      <text>
        <r>
          <rPr>
            <b/>
            <sz val="9"/>
            <color indexed="81"/>
            <rFont val="Tahoma"/>
            <family val="2"/>
          </rPr>
          <t>KPSMER OPR25:</t>
        </r>
        <r>
          <rPr>
            <sz val="9"/>
            <color indexed="81"/>
            <rFont val="Tahoma"/>
            <family val="2"/>
          </rPr>
          <t xml:space="preserve">
</t>
        </r>
        <r>
          <rPr>
            <b/>
            <sz val="9"/>
            <color indexed="81"/>
            <rFont val="Tahoma"/>
            <family val="2"/>
          </rPr>
          <t>BARIS 21 KOLOM G</t>
        </r>
      </text>
    </comment>
    <comment ref="K15" authorId="0">
      <text>
        <r>
          <rPr>
            <b/>
            <sz val="9"/>
            <color indexed="81"/>
            <rFont val="Tahoma"/>
            <family val="2"/>
          </rPr>
          <t>KPSMER OPR25:</t>
        </r>
        <r>
          <rPr>
            <sz val="9"/>
            <color indexed="81"/>
            <rFont val="Tahoma"/>
            <family val="2"/>
          </rPr>
          <t xml:space="preserve">
</t>
        </r>
        <r>
          <rPr>
            <b/>
            <sz val="9"/>
            <color indexed="81"/>
            <rFont val="Tahoma"/>
            <family val="2"/>
          </rPr>
          <t>BARIS 21 KOLOM H</t>
        </r>
      </text>
    </comment>
    <comment ref="F16" authorId="0">
      <text>
        <r>
          <rPr>
            <b/>
            <sz val="9"/>
            <color indexed="81"/>
            <rFont val="Tahoma"/>
            <family val="2"/>
          </rPr>
          <t>KPSMER OPR25:</t>
        </r>
        <r>
          <rPr>
            <sz val="9"/>
            <color indexed="81"/>
            <rFont val="Tahoma"/>
            <family val="2"/>
          </rPr>
          <t xml:space="preserve">
</t>
        </r>
        <r>
          <rPr>
            <b/>
            <sz val="9"/>
            <color indexed="81"/>
            <rFont val="Tahoma"/>
            <family val="2"/>
          </rPr>
          <t>BARIS 22 KOLOM F</t>
        </r>
      </text>
    </comment>
    <comment ref="G16" authorId="0">
      <text>
        <r>
          <rPr>
            <b/>
            <sz val="9"/>
            <color indexed="81"/>
            <rFont val="Tahoma"/>
            <family val="2"/>
          </rPr>
          <t>KPSMER OPR25:</t>
        </r>
        <r>
          <rPr>
            <sz val="9"/>
            <color indexed="81"/>
            <rFont val="Tahoma"/>
            <family val="2"/>
          </rPr>
          <t xml:space="preserve">
</t>
        </r>
        <r>
          <rPr>
            <b/>
            <sz val="9"/>
            <color indexed="81"/>
            <rFont val="Tahoma"/>
            <family val="2"/>
          </rPr>
          <t>BARIS 22 KOLOM G</t>
        </r>
      </text>
    </comment>
    <comment ref="H16" authorId="0">
      <text>
        <r>
          <rPr>
            <b/>
            <sz val="9"/>
            <color indexed="81"/>
            <rFont val="Tahoma"/>
            <family val="2"/>
          </rPr>
          <t>KPSMER OPR25:</t>
        </r>
        <r>
          <rPr>
            <sz val="9"/>
            <color indexed="81"/>
            <rFont val="Tahoma"/>
            <family val="2"/>
          </rPr>
          <t xml:space="preserve">
</t>
        </r>
        <r>
          <rPr>
            <b/>
            <sz val="9"/>
            <color indexed="81"/>
            <rFont val="Tahoma"/>
            <family val="2"/>
          </rPr>
          <t>BARIS 22 KOLOM H</t>
        </r>
      </text>
    </comment>
    <comment ref="I16" authorId="0">
      <text>
        <r>
          <rPr>
            <b/>
            <sz val="9"/>
            <color indexed="81"/>
            <rFont val="Tahoma"/>
            <family val="2"/>
          </rPr>
          <t>KPSMER OPR25:</t>
        </r>
        <r>
          <rPr>
            <sz val="9"/>
            <color indexed="81"/>
            <rFont val="Tahoma"/>
            <family val="2"/>
          </rPr>
          <t xml:space="preserve">
</t>
        </r>
        <r>
          <rPr>
            <b/>
            <sz val="9"/>
            <color indexed="81"/>
            <rFont val="Tahoma"/>
            <family val="2"/>
          </rPr>
          <t>BARIS 22 KOLOM F</t>
        </r>
      </text>
    </comment>
    <comment ref="J16" authorId="0">
      <text>
        <r>
          <rPr>
            <b/>
            <sz val="9"/>
            <color indexed="81"/>
            <rFont val="Tahoma"/>
            <family val="2"/>
          </rPr>
          <t>KPSMER OPR25:</t>
        </r>
        <r>
          <rPr>
            <sz val="9"/>
            <color indexed="81"/>
            <rFont val="Tahoma"/>
            <family val="2"/>
          </rPr>
          <t xml:space="preserve">
</t>
        </r>
        <r>
          <rPr>
            <b/>
            <sz val="9"/>
            <color indexed="81"/>
            <rFont val="Tahoma"/>
            <family val="2"/>
          </rPr>
          <t>BARIS 22 KOLOM G</t>
        </r>
      </text>
    </comment>
    <comment ref="K16" authorId="0">
      <text>
        <r>
          <rPr>
            <b/>
            <sz val="9"/>
            <color indexed="81"/>
            <rFont val="Tahoma"/>
            <family val="2"/>
          </rPr>
          <t>KPSMER OPR25:</t>
        </r>
        <r>
          <rPr>
            <sz val="9"/>
            <color indexed="81"/>
            <rFont val="Tahoma"/>
            <family val="2"/>
          </rPr>
          <t xml:space="preserve">
</t>
        </r>
        <r>
          <rPr>
            <b/>
            <sz val="9"/>
            <color indexed="81"/>
            <rFont val="Tahoma"/>
            <family val="2"/>
          </rPr>
          <t>BARIS 22 KOLOM H</t>
        </r>
      </text>
    </comment>
    <comment ref="F17" authorId="0">
      <text>
        <r>
          <rPr>
            <b/>
            <sz val="9"/>
            <color indexed="81"/>
            <rFont val="Tahoma"/>
            <family val="2"/>
          </rPr>
          <t>KPSMER OPR25:</t>
        </r>
        <r>
          <rPr>
            <sz val="9"/>
            <color indexed="81"/>
            <rFont val="Tahoma"/>
            <family val="2"/>
          </rPr>
          <t xml:space="preserve">
</t>
        </r>
        <r>
          <rPr>
            <b/>
            <sz val="9"/>
            <color indexed="81"/>
            <rFont val="Tahoma"/>
            <family val="2"/>
          </rPr>
          <t>BARIS 23 KOLOM F</t>
        </r>
      </text>
    </comment>
    <comment ref="G17" authorId="0">
      <text>
        <r>
          <rPr>
            <b/>
            <sz val="9"/>
            <color indexed="81"/>
            <rFont val="Tahoma"/>
            <family val="2"/>
          </rPr>
          <t>KPSMER OPR25:</t>
        </r>
        <r>
          <rPr>
            <sz val="9"/>
            <color indexed="81"/>
            <rFont val="Tahoma"/>
            <family val="2"/>
          </rPr>
          <t xml:space="preserve">
</t>
        </r>
        <r>
          <rPr>
            <b/>
            <sz val="9"/>
            <color indexed="81"/>
            <rFont val="Tahoma"/>
            <family val="2"/>
          </rPr>
          <t>BARIS 23 KOLOM G</t>
        </r>
      </text>
    </comment>
    <comment ref="H17" authorId="0">
      <text>
        <r>
          <rPr>
            <b/>
            <sz val="9"/>
            <color indexed="81"/>
            <rFont val="Tahoma"/>
            <family val="2"/>
          </rPr>
          <t>KPSMER OPR25:</t>
        </r>
        <r>
          <rPr>
            <sz val="9"/>
            <color indexed="81"/>
            <rFont val="Tahoma"/>
            <family val="2"/>
          </rPr>
          <t xml:space="preserve">
</t>
        </r>
        <r>
          <rPr>
            <b/>
            <sz val="9"/>
            <color indexed="81"/>
            <rFont val="Tahoma"/>
            <family val="2"/>
          </rPr>
          <t>BARIS 23 KOLOM H</t>
        </r>
      </text>
    </comment>
    <comment ref="I17" authorId="0">
      <text>
        <r>
          <rPr>
            <b/>
            <sz val="9"/>
            <color indexed="81"/>
            <rFont val="Tahoma"/>
            <family val="2"/>
          </rPr>
          <t>KPSMER OPR25:</t>
        </r>
        <r>
          <rPr>
            <sz val="9"/>
            <color indexed="81"/>
            <rFont val="Tahoma"/>
            <family val="2"/>
          </rPr>
          <t xml:space="preserve">
</t>
        </r>
        <r>
          <rPr>
            <b/>
            <sz val="9"/>
            <color indexed="81"/>
            <rFont val="Tahoma"/>
            <family val="2"/>
          </rPr>
          <t>BARIS 23 KOLOM F</t>
        </r>
      </text>
    </comment>
    <comment ref="J17" authorId="0">
      <text>
        <r>
          <rPr>
            <b/>
            <sz val="9"/>
            <color indexed="81"/>
            <rFont val="Tahoma"/>
            <family val="2"/>
          </rPr>
          <t>KPSMER OPR25:</t>
        </r>
        <r>
          <rPr>
            <sz val="9"/>
            <color indexed="81"/>
            <rFont val="Tahoma"/>
            <family val="2"/>
          </rPr>
          <t xml:space="preserve">
</t>
        </r>
        <r>
          <rPr>
            <b/>
            <sz val="9"/>
            <color indexed="81"/>
            <rFont val="Tahoma"/>
            <family val="2"/>
          </rPr>
          <t>BARIS 23 KOLOM G</t>
        </r>
      </text>
    </comment>
    <comment ref="K17" authorId="0">
      <text>
        <r>
          <rPr>
            <b/>
            <sz val="9"/>
            <color indexed="81"/>
            <rFont val="Tahoma"/>
            <family val="2"/>
          </rPr>
          <t>KPSMER OPR25:</t>
        </r>
        <r>
          <rPr>
            <sz val="9"/>
            <color indexed="81"/>
            <rFont val="Tahoma"/>
            <family val="2"/>
          </rPr>
          <t xml:space="preserve">
</t>
        </r>
        <r>
          <rPr>
            <b/>
            <sz val="9"/>
            <color indexed="81"/>
            <rFont val="Tahoma"/>
            <family val="2"/>
          </rPr>
          <t>BARIS 23 KOLOM H</t>
        </r>
      </text>
    </comment>
    <comment ref="F18" authorId="0">
      <text>
        <r>
          <rPr>
            <b/>
            <sz val="9"/>
            <color indexed="81"/>
            <rFont val="Tahoma"/>
            <family val="2"/>
          </rPr>
          <t>KPSMER OPR25:</t>
        </r>
        <r>
          <rPr>
            <sz val="9"/>
            <color indexed="81"/>
            <rFont val="Tahoma"/>
            <family val="2"/>
          </rPr>
          <t xml:space="preserve">
</t>
        </r>
        <r>
          <rPr>
            <b/>
            <sz val="9"/>
            <color indexed="81"/>
            <rFont val="Tahoma"/>
            <family val="2"/>
          </rPr>
          <t>BARIS 24 KOLOM F</t>
        </r>
      </text>
    </comment>
    <comment ref="G18" authorId="0">
      <text>
        <r>
          <rPr>
            <b/>
            <sz val="9"/>
            <color indexed="81"/>
            <rFont val="Tahoma"/>
            <family val="2"/>
          </rPr>
          <t>KPSMER OPR25:</t>
        </r>
        <r>
          <rPr>
            <sz val="9"/>
            <color indexed="81"/>
            <rFont val="Tahoma"/>
            <family val="2"/>
          </rPr>
          <t xml:space="preserve">
</t>
        </r>
        <r>
          <rPr>
            <b/>
            <sz val="9"/>
            <color indexed="81"/>
            <rFont val="Tahoma"/>
            <family val="2"/>
          </rPr>
          <t>BARIS 24 KOLOM G</t>
        </r>
      </text>
    </comment>
    <comment ref="H18" authorId="0">
      <text>
        <r>
          <rPr>
            <b/>
            <sz val="9"/>
            <color indexed="81"/>
            <rFont val="Tahoma"/>
            <family val="2"/>
          </rPr>
          <t>KPSMER OPR25:</t>
        </r>
        <r>
          <rPr>
            <sz val="9"/>
            <color indexed="81"/>
            <rFont val="Tahoma"/>
            <family val="2"/>
          </rPr>
          <t xml:space="preserve">
</t>
        </r>
        <r>
          <rPr>
            <b/>
            <sz val="9"/>
            <color indexed="81"/>
            <rFont val="Tahoma"/>
            <family val="2"/>
          </rPr>
          <t>BARIS 24 KOLOM H</t>
        </r>
      </text>
    </comment>
    <comment ref="I18" authorId="0">
      <text>
        <r>
          <rPr>
            <b/>
            <sz val="9"/>
            <color indexed="81"/>
            <rFont val="Tahoma"/>
            <family val="2"/>
          </rPr>
          <t>KPSMER OPR25:</t>
        </r>
        <r>
          <rPr>
            <sz val="9"/>
            <color indexed="81"/>
            <rFont val="Tahoma"/>
            <family val="2"/>
          </rPr>
          <t xml:space="preserve">
</t>
        </r>
        <r>
          <rPr>
            <b/>
            <sz val="9"/>
            <color indexed="81"/>
            <rFont val="Tahoma"/>
            <family val="2"/>
          </rPr>
          <t>BARIS 24 KOLOM F</t>
        </r>
      </text>
    </comment>
    <comment ref="J18" authorId="0">
      <text>
        <r>
          <rPr>
            <b/>
            <sz val="9"/>
            <color indexed="81"/>
            <rFont val="Tahoma"/>
            <family val="2"/>
          </rPr>
          <t>KPSMER OPR25:</t>
        </r>
        <r>
          <rPr>
            <sz val="9"/>
            <color indexed="81"/>
            <rFont val="Tahoma"/>
            <family val="2"/>
          </rPr>
          <t xml:space="preserve">
</t>
        </r>
        <r>
          <rPr>
            <b/>
            <sz val="9"/>
            <color indexed="81"/>
            <rFont val="Tahoma"/>
            <family val="2"/>
          </rPr>
          <t>BARIS 24 KOLOM G</t>
        </r>
      </text>
    </comment>
    <comment ref="K18" authorId="0">
      <text>
        <r>
          <rPr>
            <b/>
            <sz val="9"/>
            <color indexed="81"/>
            <rFont val="Tahoma"/>
            <family val="2"/>
          </rPr>
          <t>KPSMER OPR25:</t>
        </r>
        <r>
          <rPr>
            <sz val="9"/>
            <color indexed="81"/>
            <rFont val="Tahoma"/>
            <family val="2"/>
          </rPr>
          <t xml:space="preserve">
</t>
        </r>
        <r>
          <rPr>
            <b/>
            <sz val="9"/>
            <color indexed="81"/>
            <rFont val="Tahoma"/>
            <family val="2"/>
          </rPr>
          <t>BARIS 24 KOLOM H</t>
        </r>
      </text>
    </comment>
    <comment ref="H19" authorId="0">
      <text>
        <r>
          <rPr>
            <b/>
            <sz val="9"/>
            <color indexed="81"/>
            <rFont val="Tahoma"/>
            <family val="2"/>
          </rPr>
          <t>KPSMER OPR25:</t>
        </r>
        <r>
          <rPr>
            <sz val="9"/>
            <color indexed="81"/>
            <rFont val="Tahoma"/>
            <family val="2"/>
          </rPr>
          <t xml:space="preserve">
</t>
        </r>
        <r>
          <rPr>
            <b/>
            <sz val="9"/>
            <color indexed="81"/>
            <rFont val="Tahoma"/>
            <family val="2"/>
          </rPr>
          <t>BARIS 27 KOLOM H</t>
        </r>
      </text>
    </comment>
    <comment ref="K19" authorId="0">
      <text>
        <r>
          <rPr>
            <b/>
            <sz val="9"/>
            <color indexed="81"/>
            <rFont val="Tahoma"/>
            <family val="2"/>
          </rPr>
          <t>KPSMER OPR25:</t>
        </r>
        <r>
          <rPr>
            <sz val="9"/>
            <color indexed="81"/>
            <rFont val="Tahoma"/>
            <family val="2"/>
          </rPr>
          <t xml:space="preserve">
</t>
        </r>
        <r>
          <rPr>
            <b/>
            <sz val="9"/>
            <color indexed="81"/>
            <rFont val="Tahoma"/>
            <family val="2"/>
          </rPr>
          <t>BARIS 27 KOLOM H</t>
        </r>
      </text>
    </comment>
    <comment ref="F20" authorId="0">
      <text>
        <r>
          <rPr>
            <b/>
            <sz val="9"/>
            <color indexed="81"/>
            <rFont val="Tahoma"/>
            <family val="2"/>
          </rPr>
          <t>FORM ATMR I.C</t>
        </r>
        <r>
          <rPr>
            <sz val="9"/>
            <color indexed="81"/>
            <rFont val="Tahoma"/>
            <family val="2"/>
          </rPr>
          <t xml:space="preserve">
</t>
        </r>
        <r>
          <rPr>
            <b/>
            <sz val="9"/>
            <color indexed="81"/>
            <rFont val="Tahoma"/>
            <family val="2"/>
          </rPr>
          <t>TOTALNYA HARUS SAMA DENGAN BRS 37 KOLOM F</t>
        </r>
      </text>
    </comment>
    <comment ref="G20" authorId="0">
      <text>
        <r>
          <rPr>
            <b/>
            <sz val="9"/>
            <color indexed="81"/>
            <rFont val="Tahoma"/>
            <family val="2"/>
          </rPr>
          <t>KPSMER OPR25:</t>
        </r>
        <r>
          <rPr>
            <sz val="9"/>
            <color indexed="81"/>
            <rFont val="Tahoma"/>
            <family val="2"/>
          </rPr>
          <t xml:space="preserve">
</t>
        </r>
        <r>
          <rPr>
            <b/>
            <sz val="9"/>
            <color indexed="81"/>
            <rFont val="Tahoma"/>
            <family val="2"/>
          </rPr>
          <t>TOTALNYA HARUS SAMA DENGAN BRS 37 KOLOM G</t>
        </r>
      </text>
    </comment>
    <comment ref="H20" authorId="0">
      <text>
        <r>
          <rPr>
            <b/>
            <sz val="9"/>
            <color indexed="81"/>
            <rFont val="Tahoma"/>
            <family val="2"/>
          </rPr>
          <t>KPSMER OPR25:</t>
        </r>
        <r>
          <rPr>
            <sz val="9"/>
            <color indexed="81"/>
            <rFont val="Tahoma"/>
            <family val="2"/>
          </rPr>
          <t xml:space="preserve">
</t>
        </r>
        <r>
          <rPr>
            <b/>
            <sz val="9"/>
            <color indexed="81"/>
            <rFont val="Tahoma"/>
            <family val="2"/>
          </rPr>
          <t>TOTALNYA HRS SAMA DENGAN TOTAL BARIS 37 KOLOM H</t>
        </r>
      </text>
    </comment>
    <comment ref="F28" authorId="0">
      <text>
        <r>
          <rPr>
            <b/>
            <sz val="9"/>
            <color indexed="81"/>
            <rFont val="Tahoma"/>
            <family val="2"/>
          </rPr>
          <t>KPSMER OPR25:</t>
        </r>
        <r>
          <rPr>
            <sz val="9"/>
            <color indexed="81"/>
            <rFont val="Tahoma"/>
            <family val="2"/>
          </rPr>
          <t xml:space="preserve">
</t>
        </r>
        <r>
          <rPr>
            <b/>
            <sz val="9"/>
            <color indexed="81"/>
            <rFont val="Tahoma"/>
            <family val="2"/>
          </rPr>
          <t>BARIS 44 KOLOM F</t>
        </r>
      </text>
    </comment>
    <comment ref="G28" authorId="0">
      <text>
        <r>
          <rPr>
            <b/>
            <sz val="9"/>
            <color indexed="81"/>
            <rFont val="Tahoma"/>
            <family val="2"/>
          </rPr>
          <t>KPSMER OPR25:</t>
        </r>
        <r>
          <rPr>
            <sz val="9"/>
            <color indexed="81"/>
            <rFont val="Tahoma"/>
            <family val="2"/>
          </rPr>
          <t xml:space="preserve">
</t>
        </r>
        <r>
          <rPr>
            <b/>
            <sz val="9"/>
            <color indexed="81"/>
            <rFont val="Tahoma"/>
            <family val="2"/>
          </rPr>
          <t>BARIS 44 KOLOM G</t>
        </r>
      </text>
    </comment>
    <comment ref="H28" authorId="0">
      <text>
        <r>
          <rPr>
            <b/>
            <sz val="9"/>
            <color indexed="81"/>
            <rFont val="Tahoma"/>
            <family val="2"/>
          </rPr>
          <t>KPSMER OPR25:</t>
        </r>
        <r>
          <rPr>
            <sz val="9"/>
            <color indexed="81"/>
            <rFont val="Tahoma"/>
            <family val="2"/>
          </rPr>
          <t xml:space="preserve">
</t>
        </r>
        <r>
          <rPr>
            <b/>
            <sz val="9"/>
            <color indexed="81"/>
            <rFont val="Tahoma"/>
            <family val="2"/>
          </rPr>
          <t>BARIS 44 KOLOM H</t>
        </r>
      </text>
    </comment>
    <comment ref="I28" authorId="0">
      <text>
        <r>
          <rPr>
            <b/>
            <sz val="9"/>
            <color indexed="81"/>
            <rFont val="Tahoma"/>
            <family val="2"/>
          </rPr>
          <t>KPSMER OPR25:</t>
        </r>
        <r>
          <rPr>
            <sz val="9"/>
            <color indexed="81"/>
            <rFont val="Tahoma"/>
            <family val="2"/>
          </rPr>
          <t xml:space="preserve">
</t>
        </r>
        <r>
          <rPr>
            <b/>
            <sz val="9"/>
            <color indexed="81"/>
            <rFont val="Tahoma"/>
            <family val="2"/>
          </rPr>
          <t>BARIS 44 KOLOM F</t>
        </r>
      </text>
    </comment>
    <comment ref="J28" authorId="0">
      <text>
        <r>
          <rPr>
            <b/>
            <sz val="9"/>
            <color indexed="81"/>
            <rFont val="Tahoma"/>
            <family val="2"/>
          </rPr>
          <t>KPSMER OPR25:</t>
        </r>
        <r>
          <rPr>
            <sz val="9"/>
            <color indexed="81"/>
            <rFont val="Tahoma"/>
            <family val="2"/>
          </rPr>
          <t xml:space="preserve">
</t>
        </r>
        <r>
          <rPr>
            <b/>
            <sz val="9"/>
            <color indexed="81"/>
            <rFont val="Tahoma"/>
            <family val="2"/>
          </rPr>
          <t>BARIS 44 KOLOM G</t>
        </r>
      </text>
    </comment>
    <comment ref="K28" authorId="0">
      <text>
        <r>
          <rPr>
            <b/>
            <sz val="9"/>
            <color indexed="81"/>
            <rFont val="Tahoma"/>
            <family val="2"/>
          </rPr>
          <t>KPSMER OPR25:</t>
        </r>
        <r>
          <rPr>
            <sz val="9"/>
            <color indexed="81"/>
            <rFont val="Tahoma"/>
            <family val="2"/>
          </rPr>
          <t xml:space="preserve">
</t>
        </r>
        <r>
          <rPr>
            <b/>
            <sz val="9"/>
            <color indexed="81"/>
            <rFont val="Tahoma"/>
            <family val="2"/>
          </rPr>
          <t>BARIS 44 KOLOM H</t>
        </r>
      </text>
    </comment>
    <comment ref="F29" authorId="0">
      <text>
        <r>
          <rPr>
            <b/>
            <sz val="9"/>
            <color indexed="81"/>
            <rFont val="Tahoma"/>
            <family val="2"/>
          </rPr>
          <t>KPSMER OPR25:</t>
        </r>
        <r>
          <rPr>
            <sz val="9"/>
            <color indexed="81"/>
            <rFont val="Tahoma"/>
            <family val="2"/>
          </rPr>
          <t xml:space="preserve">
</t>
        </r>
        <r>
          <rPr>
            <b/>
            <sz val="9"/>
            <color indexed="81"/>
            <rFont val="Tahoma"/>
            <family val="2"/>
          </rPr>
          <t>BARIS 47 KOLOM F</t>
        </r>
      </text>
    </comment>
    <comment ref="G29" authorId="0">
      <text>
        <r>
          <rPr>
            <b/>
            <sz val="9"/>
            <color indexed="81"/>
            <rFont val="Tahoma"/>
            <family val="2"/>
          </rPr>
          <t>KPSMER OPR25:</t>
        </r>
        <r>
          <rPr>
            <sz val="9"/>
            <color indexed="81"/>
            <rFont val="Tahoma"/>
            <family val="2"/>
          </rPr>
          <t xml:space="preserve">
</t>
        </r>
        <r>
          <rPr>
            <b/>
            <sz val="9"/>
            <color indexed="81"/>
            <rFont val="Tahoma"/>
            <family val="2"/>
          </rPr>
          <t>BARIS 47 KOLOM G</t>
        </r>
      </text>
    </comment>
    <comment ref="H29" authorId="0">
      <text>
        <r>
          <rPr>
            <b/>
            <sz val="9"/>
            <color indexed="81"/>
            <rFont val="Tahoma"/>
            <family val="2"/>
          </rPr>
          <t>KPSMER OPR25:</t>
        </r>
        <r>
          <rPr>
            <sz val="9"/>
            <color indexed="81"/>
            <rFont val="Tahoma"/>
            <family val="2"/>
          </rPr>
          <t xml:space="preserve">
</t>
        </r>
        <r>
          <rPr>
            <b/>
            <sz val="9"/>
            <color indexed="81"/>
            <rFont val="Tahoma"/>
            <family val="2"/>
          </rPr>
          <t>BARIS 47 KOLOM H</t>
        </r>
      </text>
    </comment>
    <comment ref="I29" authorId="0">
      <text>
        <r>
          <rPr>
            <b/>
            <sz val="9"/>
            <color indexed="81"/>
            <rFont val="Tahoma"/>
            <family val="2"/>
          </rPr>
          <t>KPSMER OPR25:</t>
        </r>
        <r>
          <rPr>
            <sz val="9"/>
            <color indexed="81"/>
            <rFont val="Tahoma"/>
            <family val="2"/>
          </rPr>
          <t xml:space="preserve">
</t>
        </r>
        <r>
          <rPr>
            <b/>
            <sz val="9"/>
            <color indexed="81"/>
            <rFont val="Tahoma"/>
            <family val="2"/>
          </rPr>
          <t>BARIS 47 KOLOM F</t>
        </r>
      </text>
    </comment>
    <comment ref="J29" authorId="0">
      <text>
        <r>
          <rPr>
            <b/>
            <sz val="9"/>
            <color indexed="81"/>
            <rFont val="Tahoma"/>
            <family val="2"/>
          </rPr>
          <t>KPSMER OPR25:</t>
        </r>
        <r>
          <rPr>
            <sz val="9"/>
            <color indexed="81"/>
            <rFont val="Tahoma"/>
            <family val="2"/>
          </rPr>
          <t xml:space="preserve">
</t>
        </r>
        <r>
          <rPr>
            <b/>
            <sz val="9"/>
            <color indexed="81"/>
            <rFont val="Tahoma"/>
            <family val="2"/>
          </rPr>
          <t>BARIS 47 KOLOM G</t>
        </r>
      </text>
    </comment>
    <comment ref="K29" authorId="0">
      <text>
        <r>
          <rPr>
            <b/>
            <sz val="9"/>
            <color indexed="81"/>
            <rFont val="Tahoma"/>
            <family val="2"/>
          </rPr>
          <t>KPSMER OPR25:</t>
        </r>
        <r>
          <rPr>
            <sz val="9"/>
            <color indexed="81"/>
            <rFont val="Tahoma"/>
            <family val="2"/>
          </rPr>
          <t xml:space="preserve">
</t>
        </r>
        <r>
          <rPr>
            <b/>
            <sz val="9"/>
            <color indexed="81"/>
            <rFont val="Tahoma"/>
            <family val="2"/>
          </rPr>
          <t>BARIS 47 KOLOM H</t>
        </r>
      </text>
    </comment>
    <comment ref="F30" authorId="0">
      <text>
        <r>
          <rPr>
            <b/>
            <sz val="9"/>
            <color indexed="81"/>
            <rFont val="Tahoma"/>
            <family val="2"/>
          </rPr>
          <t>KPSMER OPR25:</t>
        </r>
        <r>
          <rPr>
            <sz val="9"/>
            <color indexed="81"/>
            <rFont val="Tahoma"/>
            <family val="2"/>
          </rPr>
          <t xml:space="preserve">
</t>
        </r>
        <r>
          <rPr>
            <b/>
            <sz val="9"/>
            <color indexed="81"/>
            <rFont val="Tahoma"/>
            <family val="2"/>
          </rPr>
          <t>BARIS 48 KOLOM F</t>
        </r>
      </text>
    </comment>
    <comment ref="G30" authorId="0">
      <text>
        <r>
          <rPr>
            <b/>
            <sz val="9"/>
            <color indexed="81"/>
            <rFont val="Tahoma"/>
            <family val="2"/>
          </rPr>
          <t>KPSMER OPR25:</t>
        </r>
        <r>
          <rPr>
            <sz val="9"/>
            <color indexed="81"/>
            <rFont val="Tahoma"/>
            <family val="2"/>
          </rPr>
          <t xml:space="preserve">
</t>
        </r>
        <r>
          <rPr>
            <b/>
            <sz val="9"/>
            <color indexed="81"/>
            <rFont val="Tahoma"/>
            <family val="2"/>
          </rPr>
          <t>BARIS 48 KOLOM G</t>
        </r>
      </text>
    </comment>
    <comment ref="H30" authorId="0">
      <text>
        <r>
          <rPr>
            <b/>
            <sz val="9"/>
            <color indexed="81"/>
            <rFont val="Tahoma"/>
            <family val="2"/>
          </rPr>
          <t>KPSMER OPR25:</t>
        </r>
        <r>
          <rPr>
            <sz val="9"/>
            <color indexed="81"/>
            <rFont val="Tahoma"/>
            <family val="2"/>
          </rPr>
          <t xml:space="preserve">
</t>
        </r>
        <r>
          <rPr>
            <b/>
            <sz val="9"/>
            <color indexed="81"/>
            <rFont val="Tahoma"/>
            <family val="2"/>
          </rPr>
          <t>BARIS 48 KOLOM H</t>
        </r>
      </text>
    </comment>
    <comment ref="I30" authorId="0">
      <text>
        <r>
          <rPr>
            <b/>
            <sz val="9"/>
            <color indexed="81"/>
            <rFont val="Tahoma"/>
            <family val="2"/>
          </rPr>
          <t>KPSMER OPR25:</t>
        </r>
        <r>
          <rPr>
            <sz val="9"/>
            <color indexed="81"/>
            <rFont val="Tahoma"/>
            <family val="2"/>
          </rPr>
          <t xml:space="preserve">
</t>
        </r>
        <r>
          <rPr>
            <b/>
            <sz val="9"/>
            <color indexed="81"/>
            <rFont val="Tahoma"/>
            <family val="2"/>
          </rPr>
          <t>BARIS 48 KOLOM F</t>
        </r>
      </text>
    </comment>
    <comment ref="J30" authorId="0">
      <text>
        <r>
          <rPr>
            <b/>
            <sz val="9"/>
            <color indexed="81"/>
            <rFont val="Tahoma"/>
            <family val="2"/>
          </rPr>
          <t>KPSMER OPR25:</t>
        </r>
        <r>
          <rPr>
            <sz val="9"/>
            <color indexed="81"/>
            <rFont val="Tahoma"/>
            <family val="2"/>
          </rPr>
          <t xml:space="preserve">
</t>
        </r>
        <r>
          <rPr>
            <b/>
            <sz val="9"/>
            <color indexed="81"/>
            <rFont val="Tahoma"/>
            <family val="2"/>
          </rPr>
          <t>BARIS 48 KOLOM G</t>
        </r>
      </text>
    </comment>
    <comment ref="K30" authorId="0">
      <text>
        <r>
          <rPr>
            <b/>
            <sz val="9"/>
            <color indexed="81"/>
            <rFont val="Tahoma"/>
            <family val="2"/>
          </rPr>
          <t>KPSMER OPR25:</t>
        </r>
        <r>
          <rPr>
            <sz val="9"/>
            <color indexed="81"/>
            <rFont val="Tahoma"/>
            <family val="2"/>
          </rPr>
          <t xml:space="preserve">
</t>
        </r>
        <r>
          <rPr>
            <b/>
            <sz val="9"/>
            <color indexed="81"/>
            <rFont val="Tahoma"/>
            <family val="2"/>
          </rPr>
          <t>BARIS 48 KOLOM H</t>
        </r>
      </text>
    </comment>
    <comment ref="F31" authorId="0">
      <text>
        <r>
          <rPr>
            <b/>
            <sz val="9"/>
            <color indexed="81"/>
            <rFont val="Tahoma"/>
            <family val="2"/>
          </rPr>
          <t>KPSMER OPR25:</t>
        </r>
        <r>
          <rPr>
            <sz val="9"/>
            <color indexed="81"/>
            <rFont val="Tahoma"/>
            <family val="2"/>
          </rPr>
          <t xml:space="preserve">
</t>
        </r>
        <r>
          <rPr>
            <b/>
            <sz val="9"/>
            <color indexed="81"/>
            <rFont val="Tahoma"/>
            <family val="2"/>
          </rPr>
          <t>BARIS 49 KOLOM F</t>
        </r>
      </text>
    </comment>
    <comment ref="G31" authorId="0">
      <text>
        <r>
          <rPr>
            <b/>
            <sz val="9"/>
            <color indexed="81"/>
            <rFont val="Tahoma"/>
            <family val="2"/>
          </rPr>
          <t>KPSMER OPR25:</t>
        </r>
        <r>
          <rPr>
            <sz val="9"/>
            <color indexed="81"/>
            <rFont val="Tahoma"/>
            <family val="2"/>
          </rPr>
          <t xml:space="preserve">
</t>
        </r>
        <r>
          <rPr>
            <b/>
            <sz val="9"/>
            <color indexed="81"/>
            <rFont val="Tahoma"/>
            <family val="2"/>
          </rPr>
          <t>BARIS 49 KOLOM G</t>
        </r>
      </text>
    </comment>
    <comment ref="H31" authorId="0">
      <text>
        <r>
          <rPr>
            <b/>
            <sz val="9"/>
            <color indexed="81"/>
            <rFont val="Tahoma"/>
            <family val="2"/>
          </rPr>
          <t>KPSMER OPR25:</t>
        </r>
        <r>
          <rPr>
            <sz val="9"/>
            <color indexed="81"/>
            <rFont val="Tahoma"/>
            <family val="2"/>
          </rPr>
          <t xml:space="preserve">
</t>
        </r>
        <r>
          <rPr>
            <b/>
            <sz val="9"/>
            <color indexed="81"/>
            <rFont val="Tahoma"/>
            <family val="2"/>
          </rPr>
          <t>BARIS 49 KOLOM H</t>
        </r>
      </text>
    </comment>
    <comment ref="I31" authorId="0">
      <text>
        <r>
          <rPr>
            <b/>
            <sz val="9"/>
            <color indexed="81"/>
            <rFont val="Tahoma"/>
            <family val="2"/>
          </rPr>
          <t>KPSMER OPR25:</t>
        </r>
        <r>
          <rPr>
            <sz val="9"/>
            <color indexed="81"/>
            <rFont val="Tahoma"/>
            <family val="2"/>
          </rPr>
          <t xml:space="preserve">
</t>
        </r>
        <r>
          <rPr>
            <b/>
            <sz val="9"/>
            <color indexed="81"/>
            <rFont val="Tahoma"/>
            <family val="2"/>
          </rPr>
          <t>BARIS 49 KOLOM F</t>
        </r>
      </text>
    </comment>
    <comment ref="J31" authorId="0">
      <text>
        <r>
          <rPr>
            <b/>
            <sz val="9"/>
            <color indexed="81"/>
            <rFont val="Tahoma"/>
            <family val="2"/>
          </rPr>
          <t>KPSMER OPR25:</t>
        </r>
        <r>
          <rPr>
            <sz val="9"/>
            <color indexed="81"/>
            <rFont val="Tahoma"/>
            <family val="2"/>
          </rPr>
          <t xml:space="preserve">
</t>
        </r>
        <r>
          <rPr>
            <b/>
            <sz val="9"/>
            <color indexed="81"/>
            <rFont val="Tahoma"/>
            <family val="2"/>
          </rPr>
          <t>BARIS 49 KOLOM G</t>
        </r>
      </text>
    </comment>
    <comment ref="K31" authorId="0">
      <text>
        <r>
          <rPr>
            <b/>
            <sz val="9"/>
            <color indexed="81"/>
            <rFont val="Tahoma"/>
            <family val="2"/>
          </rPr>
          <t>KPSMER OPR25:</t>
        </r>
        <r>
          <rPr>
            <sz val="9"/>
            <color indexed="81"/>
            <rFont val="Tahoma"/>
            <family val="2"/>
          </rPr>
          <t xml:space="preserve">
</t>
        </r>
        <r>
          <rPr>
            <b/>
            <sz val="9"/>
            <color indexed="81"/>
            <rFont val="Tahoma"/>
            <family val="2"/>
          </rPr>
          <t>BARIS 49 KOLOM H</t>
        </r>
      </text>
    </comment>
    <comment ref="F32" authorId="0">
      <text>
        <r>
          <rPr>
            <b/>
            <sz val="9"/>
            <color indexed="81"/>
            <rFont val="Tahoma"/>
            <family val="2"/>
          </rPr>
          <t>KPSMER OPR25:</t>
        </r>
        <r>
          <rPr>
            <sz val="9"/>
            <color indexed="81"/>
            <rFont val="Tahoma"/>
            <family val="2"/>
          </rPr>
          <t xml:space="preserve">
</t>
        </r>
        <r>
          <rPr>
            <b/>
            <sz val="9"/>
            <color indexed="81"/>
            <rFont val="Tahoma"/>
            <family val="2"/>
          </rPr>
          <t>BARIS 52 KOLOM F</t>
        </r>
      </text>
    </comment>
    <comment ref="G32" authorId="0">
      <text>
        <r>
          <rPr>
            <b/>
            <sz val="9"/>
            <color indexed="81"/>
            <rFont val="Tahoma"/>
            <family val="2"/>
          </rPr>
          <t>KPSMER OPR25:</t>
        </r>
        <r>
          <rPr>
            <sz val="9"/>
            <color indexed="81"/>
            <rFont val="Tahoma"/>
            <family val="2"/>
          </rPr>
          <t xml:space="preserve">
</t>
        </r>
        <r>
          <rPr>
            <b/>
            <sz val="9"/>
            <color indexed="81"/>
            <rFont val="Tahoma"/>
            <family val="2"/>
          </rPr>
          <t>BARIS 52 KOLOM G</t>
        </r>
      </text>
    </comment>
    <comment ref="H32" authorId="0">
      <text>
        <r>
          <rPr>
            <b/>
            <sz val="9"/>
            <color indexed="81"/>
            <rFont val="Tahoma"/>
            <family val="2"/>
          </rPr>
          <t>KPSMER OPR25:</t>
        </r>
        <r>
          <rPr>
            <sz val="9"/>
            <color indexed="81"/>
            <rFont val="Tahoma"/>
            <family val="2"/>
          </rPr>
          <t xml:space="preserve">
</t>
        </r>
        <r>
          <rPr>
            <b/>
            <sz val="9"/>
            <color indexed="81"/>
            <rFont val="Tahoma"/>
            <family val="2"/>
          </rPr>
          <t>BARIS 52 KOLOM H</t>
        </r>
      </text>
    </comment>
    <comment ref="I32" authorId="0">
      <text>
        <r>
          <rPr>
            <b/>
            <sz val="9"/>
            <color indexed="81"/>
            <rFont val="Tahoma"/>
            <family val="2"/>
          </rPr>
          <t>KPSMER OPR25:</t>
        </r>
        <r>
          <rPr>
            <sz val="9"/>
            <color indexed="81"/>
            <rFont val="Tahoma"/>
            <family val="2"/>
          </rPr>
          <t xml:space="preserve">
</t>
        </r>
        <r>
          <rPr>
            <b/>
            <sz val="9"/>
            <color indexed="81"/>
            <rFont val="Tahoma"/>
            <family val="2"/>
          </rPr>
          <t>BARIS 52 KOLOM F</t>
        </r>
      </text>
    </comment>
    <comment ref="J32" authorId="0">
      <text>
        <r>
          <rPr>
            <b/>
            <sz val="9"/>
            <color indexed="81"/>
            <rFont val="Tahoma"/>
            <family val="2"/>
          </rPr>
          <t>KPSMER OPR25:</t>
        </r>
        <r>
          <rPr>
            <sz val="9"/>
            <color indexed="81"/>
            <rFont val="Tahoma"/>
            <family val="2"/>
          </rPr>
          <t xml:space="preserve">
</t>
        </r>
        <r>
          <rPr>
            <b/>
            <sz val="9"/>
            <color indexed="81"/>
            <rFont val="Tahoma"/>
            <family val="2"/>
          </rPr>
          <t>BARIS 52 KOLOM G</t>
        </r>
      </text>
    </comment>
    <comment ref="K32" authorId="0">
      <text>
        <r>
          <rPr>
            <b/>
            <sz val="9"/>
            <color indexed="81"/>
            <rFont val="Tahoma"/>
            <family val="2"/>
          </rPr>
          <t>KPSMER OPR25:</t>
        </r>
        <r>
          <rPr>
            <sz val="9"/>
            <color indexed="81"/>
            <rFont val="Tahoma"/>
            <family val="2"/>
          </rPr>
          <t xml:space="preserve">
</t>
        </r>
        <r>
          <rPr>
            <b/>
            <sz val="9"/>
            <color indexed="81"/>
            <rFont val="Tahoma"/>
            <family val="2"/>
          </rPr>
          <t>BARIS 52 KOLOM H</t>
        </r>
      </text>
    </comment>
    <comment ref="F33" authorId="0">
      <text>
        <r>
          <rPr>
            <b/>
            <sz val="9"/>
            <color indexed="81"/>
            <rFont val="Tahoma"/>
            <family val="2"/>
          </rPr>
          <t>KPSMER OPR25:
BARIS 53 KOLOM F</t>
        </r>
      </text>
    </comment>
    <comment ref="G33" authorId="0">
      <text>
        <r>
          <rPr>
            <b/>
            <sz val="9"/>
            <color indexed="81"/>
            <rFont val="Tahoma"/>
            <family val="2"/>
          </rPr>
          <t>KPSMER OPR25:</t>
        </r>
        <r>
          <rPr>
            <sz val="9"/>
            <color indexed="81"/>
            <rFont val="Tahoma"/>
            <family val="2"/>
          </rPr>
          <t xml:space="preserve">
</t>
        </r>
        <r>
          <rPr>
            <b/>
            <sz val="9"/>
            <color indexed="81"/>
            <rFont val="Tahoma"/>
            <family val="2"/>
          </rPr>
          <t>BARIS 53 KOLOM G</t>
        </r>
      </text>
    </comment>
    <comment ref="H33" authorId="0">
      <text>
        <r>
          <rPr>
            <b/>
            <sz val="9"/>
            <color indexed="81"/>
            <rFont val="Tahoma"/>
            <family val="2"/>
          </rPr>
          <t>KPSMER OPR25:</t>
        </r>
        <r>
          <rPr>
            <sz val="9"/>
            <color indexed="81"/>
            <rFont val="Tahoma"/>
            <family val="2"/>
          </rPr>
          <t xml:space="preserve">
</t>
        </r>
        <r>
          <rPr>
            <b/>
            <sz val="9"/>
            <color indexed="81"/>
            <rFont val="Tahoma"/>
            <family val="2"/>
          </rPr>
          <t>BARIS 53 KOLOM H</t>
        </r>
      </text>
    </comment>
    <comment ref="I33" authorId="0">
      <text>
        <r>
          <rPr>
            <b/>
            <sz val="9"/>
            <color indexed="81"/>
            <rFont val="Tahoma"/>
            <family val="2"/>
          </rPr>
          <t>KPSMER OPR25:
BARIS 53 KOLOM F</t>
        </r>
      </text>
    </comment>
    <comment ref="J33" authorId="0">
      <text>
        <r>
          <rPr>
            <b/>
            <sz val="9"/>
            <color indexed="81"/>
            <rFont val="Tahoma"/>
            <family val="2"/>
          </rPr>
          <t>KPSMER OPR25:</t>
        </r>
        <r>
          <rPr>
            <sz val="9"/>
            <color indexed="81"/>
            <rFont val="Tahoma"/>
            <family val="2"/>
          </rPr>
          <t xml:space="preserve">
</t>
        </r>
        <r>
          <rPr>
            <b/>
            <sz val="9"/>
            <color indexed="81"/>
            <rFont val="Tahoma"/>
            <family val="2"/>
          </rPr>
          <t>BARIS 53 KOLOM G</t>
        </r>
      </text>
    </comment>
    <comment ref="K33" authorId="0">
      <text>
        <r>
          <rPr>
            <b/>
            <sz val="9"/>
            <color indexed="81"/>
            <rFont val="Tahoma"/>
            <family val="2"/>
          </rPr>
          <t>KPSMER OPR25:</t>
        </r>
        <r>
          <rPr>
            <sz val="9"/>
            <color indexed="81"/>
            <rFont val="Tahoma"/>
            <family val="2"/>
          </rPr>
          <t xml:space="preserve">
</t>
        </r>
        <r>
          <rPr>
            <b/>
            <sz val="9"/>
            <color indexed="81"/>
            <rFont val="Tahoma"/>
            <family val="2"/>
          </rPr>
          <t>BARIS 53 KOLOM H</t>
        </r>
      </text>
    </comment>
    <comment ref="F34" authorId="0">
      <text>
        <r>
          <rPr>
            <b/>
            <sz val="9"/>
            <color indexed="81"/>
            <rFont val="Tahoma"/>
            <family val="2"/>
          </rPr>
          <t>KPSMER OPR25:</t>
        </r>
        <r>
          <rPr>
            <sz val="9"/>
            <color indexed="81"/>
            <rFont val="Tahoma"/>
            <family val="2"/>
          </rPr>
          <t xml:space="preserve">
</t>
        </r>
        <r>
          <rPr>
            <b/>
            <sz val="9"/>
            <color indexed="81"/>
            <rFont val="Tahoma"/>
            <family val="2"/>
          </rPr>
          <t>BARIS 54 KOLOM F</t>
        </r>
      </text>
    </comment>
    <comment ref="G34" authorId="0">
      <text>
        <r>
          <rPr>
            <b/>
            <sz val="9"/>
            <color indexed="81"/>
            <rFont val="Tahoma"/>
            <family val="2"/>
          </rPr>
          <t>KPSMER OPR25:</t>
        </r>
        <r>
          <rPr>
            <sz val="9"/>
            <color indexed="81"/>
            <rFont val="Tahoma"/>
            <family val="2"/>
          </rPr>
          <t xml:space="preserve">
</t>
        </r>
        <r>
          <rPr>
            <b/>
            <sz val="9"/>
            <color indexed="81"/>
            <rFont val="Tahoma"/>
            <family val="2"/>
          </rPr>
          <t>BARIS 54 KOLOM G</t>
        </r>
      </text>
    </comment>
    <comment ref="H34" authorId="0">
      <text>
        <r>
          <rPr>
            <b/>
            <sz val="9"/>
            <color indexed="81"/>
            <rFont val="Tahoma"/>
            <family val="2"/>
          </rPr>
          <t>KPSMER OPR25:</t>
        </r>
        <r>
          <rPr>
            <sz val="9"/>
            <color indexed="81"/>
            <rFont val="Tahoma"/>
            <family val="2"/>
          </rPr>
          <t xml:space="preserve">
</t>
        </r>
        <r>
          <rPr>
            <b/>
            <sz val="9"/>
            <color indexed="81"/>
            <rFont val="Tahoma"/>
            <family val="2"/>
          </rPr>
          <t>BARIS 54 KOLOM H</t>
        </r>
      </text>
    </comment>
    <comment ref="I34" authorId="0">
      <text>
        <r>
          <rPr>
            <b/>
            <sz val="9"/>
            <color indexed="81"/>
            <rFont val="Tahoma"/>
            <family val="2"/>
          </rPr>
          <t>KPSMER OPR25:</t>
        </r>
        <r>
          <rPr>
            <sz val="9"/>
            <color indexed="81"/>
            <rFont val="Tahoma"/>
            <family val="2"/>
          </rPr>
          <t xml:space="preserve">
</t>
        </r>
        <r>
          <rPr>
            <b/>
            <sz val="9"/>
            <color indexed="81"/>
            <rFont val="Tahoma"/>
            <family val="2"/>
          </rPr>
          <t>BARIS 54 KOLOM F</t>
        </r>
      </text>
    </comment>
    <comment ref="J34" authorId="0">
      <text>
        <r>
          <rPr>
            <b/>
            <sz val="9"/>
            <color indexed="81"/>
            <rFont val="Tahoma"/>
            <family val="2"/>
          </rPr>
          <t>KPSMER OPR25:</t>
        </r>
        <r>
          <rPr>
            <sz val="9"/>
            <color indexed="81"/>
            <rFont val="Tahoma"/>
            <family val="2"/>
          </rPr>
          <t xml:space="preserve">
</t>
        </r>
        <r>
          <rPr>
            <b/>
            <sz val="9"/>
            <color indexed="81"/>
            <rFont val="Tahoma"/>
            <family val="2"/>
          </rPr>
          <t>BARIS 54 KOLOM G</t>
        </r>
      </text>
    </comment>
    <comment ref="K34" authorId="0">
      <text>
        <r>
          <rPr>
            <b/>
            <sz val="9"/>
            <color indexed="81"/>
            <rFont val="Tahoma"/>
            <family val="2"/>
          </rPr>
          <t>KPSMER OPR25:</t>
        </r>
        <r>
          <rPr>
            <sz val="9"/>
            <color indexed="81"/>
            <rFont val="Tahoma"/>
            <family val="2"/>
          </rPr>
          <t xml:space="preserve">
</t>
        </r>
        <r>
          <rPr>
            <b/>
            <sz val="9"/>
            <color indexed="81"/>
            <rFont val="Tahoma"/>
            <family val="2"/>
          </rPr>
          <t>BARIS 54 KOLOM H</t>
        </r>
      </text>
    </comment>
    <comment ref="F35" authorId="0">
      <text>
        <r>
          <rPr>
            <b/>
            <sz val="9"/>
            <color indexed="81"/>
            <rFont val="Tahoma"/>
            <family val="2"/>
          </rPr>
          <t>KPSMER OPR25:</t>
        </r>
        <r>
          <rPr>
            <sz val="9"/>
            <color indexed="81"/>
            <rFont val="Tahoma"/>
            <family val="2"/>
          </rPr>
          <t xml:space="preserve">
</t>
        </r>
        <r>
          <rPr>
            <b/>
            <sz val="9"/>
            <color indexed="81"/>
            <rFont val="Tahoma"/>
            <family val="2"/>
          </rPr>
          <t>BARIS 55 KOLOM F</t>
        </r>
      </text>
    </comment>
    <comment ref="G35" authorId="0">
      <text>
        <r>
          <rPr>
            <b/>
            <sz val="9"/>
            <color indexed="81"/>
            <rFont val="Tahoma"/>
            <family val="2"/>
          </rPr>
          <t>KPSMER OPR25:</t>
        </r>
        <r>
          <rPr>
            <sz val="9"/>
            <color indexed="81"/>
            <rFont val="Tahoma"/>
            <family val="2"/>
          </rPr>
          <t xml:space="preserve">
</t>
        </r>
        <r>
          <rPr>
            <b/>
            <sz val="9"/>
            <color indexed="81"/>
            <rFont val="Tahoma"/>
            <family val="2"/>
          </rPr>
          <t>BARIS 55 KOLOM G</t>
        </r>
      </text>
    </comment>
    <comment ref="H35" authorId="0">
      <text>
        <r>
          <rPr>
            <b/>
            <sz val="9"/>
            <color indexed="81"/>
            <rFont val="Tahoma"/>
            <family val="2"/>
          </rPr>
          <t>KPSMER OPR25:</t>
        </r>
        <r>
          <rPr>
            <sz val="9"/>
            <color indexed="81"/>
            <rFont val="Tahoma"/>
            <family val="2"/>
          </rPr>
          <t xml:space="preserve">
</t>
        </r>
        <r>
          <rPr>
            <b/>
            <sz val="9"/>
            <color indexed="81"/>
            <rFont val="Tahoma"/>
            <family val="2"/>
          </rPr>
          <t>BARIS 55 KOLOM H</t>
        </r>
      </text>
    </comment>
    <comment ref="I35" authorId="0">
      <text>
        <r>
          <rPr>
            <b/>
            <sz val="9"/>
            <color indexed="81"/>
            <rFont val="Tahoma"/>
            <family val="2"/>
          </rPr>
          <t>KPSMER OPR25:</t>
        </r>
        <r>
          <rPr>
            <sz val="9"/>
            <color indexed="81"/>
            <rFont val="Tahoma"/>
            <family val="2"/>
          </rPr>
          <t xml:space="preserve">
</t>
        </r>
        <r>
          <rPr>
            <b/>
            <sz val="9"/>
            <color indexed="81"/>
            <rFont val="Tahoma"/>
            <family val="2"/>
          </rPr>
          <t>BARIS 55 KOLOM F</t>
        </r>
      </text>
    </comment>
    <comment ref="J35" authorId="0">
      <text>
        <r>
          <rPr>
            <b/>
            <sz val="9"/>
            <color indexed="81"/>
            <rFont val="Tahoma"/>
            <family val="2"/>
          </rPr>
          <t>KPSMER OPR25:</t>
        </r>
        <r>
          <rPr>
            <sz val="9"/>
            <color indexed="81"/>
            <rFont val="Tahoma"/>
            <family val="2"/>
          </rPr>
          <t xml:space="preserve">
</t>
        </r>
        <r>
          <rPr>
            <b/>
            <sz val="9"/>
            <color indexed="81"/>
            <rFont val="Tahoma"/>
            <family val="2"/>
          </rPr>
          <t>BARIS 55 KOLOM G</t>
        </r>
      </text>
    </comment>
    <comment ref="K35" authorId="0">
      <text>
        <r>
          <rPr>
            <b/>
            <sz val="9"/>
            <color indexed="81"/>
            <rFont val="Tahoma"/>
            <family val="2"/>
          </rPr>
          <t>KPSMER OPR25:</t>
        </r>
        <r>
          <rPr>
            <sz val="9"/>
            <color indexed="81"/>
            <rFont val="Tahoma"/>
            <family val="2"/>
          </rPr>
          <t xml:space="preserve">
</t>
        </r>
        <r>
          <rPr>
            <b/>
            <sz val="9"/>
            <color indexed="81"/>
            <rFont val="Tahoma"/>
            <family val="2"/>
          </rPr>
          <t>BARIS 55 KOLOM H</t>
        </r>
      </text>
    </comment>
    <comment ref="F36" authorId="0">
      <text>
        <r>
          <rPr>
            <b/>
            <sz val="9"/>
            <color indexed="81"/>
            <rFont val="Tahoma"/>
            <family val="2"/>
          </rPr>
          <t>KPSMER OPR25:</t>
        </r>
        <r>
          <rPr>
            <sz val="9"/>
            <color indexed="81"/>
            <rFont val="Tahoma"/>
            <family val="2"/>
          </rPr>
          <t xml:space="preserve">
</t>
        </r>
        <r>
          <rPr>
            <b/>
            <sz val="9"/>
            <color indexed="81"/>
            <rFont val="Tahoma"/>
            <family val="2"/>
          </rPr>
          <t>BARIS 56 KOLOM F</t>
        </r>
      </text>
    </comment>
    <comment ref="G36" authorId="0">
      <text>
        <r>
          <rPr>
            <b/>
            <sz val="9"/>
            <color indexed="81"/>
            <rFont val="Tahoma"/>
            <family val="2"/>
          </rPr>
          <t>KPSMER OPR25:</t>
        </r>
        <r>
          <rPr>
            <sz val="9"/>
            <color indexed="81"/>
            <rFont val="Tahoma"/>
            <family val="2"/>
          </rPr>
          <t xml:space="preserve">
</t>
        </r>
        <r>
          <rPr>
            <b/>
            <sz val="9"/>
            <color indexed="81"/>
            <rFont val="Tahoma"/>
            <family val="2"/>
          </rPr>
          <t>BARIS 56 KOLOM G</t>
        </r>
      </text>
    </comment>
    <comment ref="H36" authorId="0">
      <text>
        <r>
          <rPr>
            <b/>
            <sz val="9"/>
            <color indexed="81"/>
            <rFont val="Tahoma"/>
            <family val="2"/>
          </rPr>
          <t>KPSMER OPR25:</t>
        </r>
        <r>
          <rPr>
            <sz val="9"/>
            <color indexed="81"/>
            <rFont val="Tahoma"/>
            <family val="2"/>
          </rPr>
          <t xml:space="preserve">
</t>
        </r>
        <r>
          <rPr>
            <b/>
            <sz val="9"/>
            <color indexed="81"/>
            <rFont val="Tahoma"/>
            <family val="2"/>
          </rPr>
          <t>BARIS 56 KOLOM H</t>
        </r>
      </text>
    </comment>
    <comment ref="I36" authorId="0">
      <text>
        <r>
          <rPr>
            <b/>
            <sz val="9"/>
            <color indexed="81"/>
            <rFont val="Tahoma"/>
            <family val="2"/>
          </rPr>
          <t>KPSMER OPR25:</t>
        </r>
        <r>
          <rPr>
            <sz val="9"/>
            <color indexed="81"/>
            <rFont val="Tahoma"/>
            <family val="2"/>
          </rPr>
          <t xml:space="preserve">
</t>
        </r>
        <r>
          <rPr>
            <b/>
            <sz val="9"/>
            <color indexed="81"/>
            <rFont val="Tahoma"/>
            <family val="2"/>
          </rPr>
          <t>BARIS 56 KOLOM F</t>
        </r>
      </text>
    </comment>
    <comment ref="J36" authorId="0">
      <text>
        <r>
          <rPr>
            <b/>
            <sz val="9"/>
            <color indexed="81"/>
            <rFont val="Tahoma"/>
            <family val="2"/>
          </rPr>
          <t>KPSMER OPR25:</t>
        </r>
        <r>
          <rPr>
            <sz val="9"/>
            <color indexed="81"/>
            <rFont val="Tahoma"/>
            <family val="2"/>
          </rPr>
          <t xml:space="preserve">
</t>
        </r>
        <r>
          <rPr>
            <b/>
            <sz val="9"/>
            <color indexed="81"/>
            <rFont val="Tahoma"/>
            <family val="2"/>
          </rPr>
          <t>BARIS 56 KOLOM G</t>
        </r>
      </text>
    </comment>
    <comment ref="K36" authorId="0">
      <text>
        <r>
          <rPr>
            <b/>
            <sz val="9"/>
            <color indexed="81"/>
            <rFont val="Tahoma"/>
            <family val="2"/>
          </rPr>
          <t>KPSMER OPR25:</t>
        </r>
        <r>
          <rPr>
            <sz val="9"/>
            <color indexed="81"/>
            <rFont val="Tahoma"/>
            <family val="2"/>
          </rPr>
          <t xml:space="preserve">
</t>
        </r>
        <r>
          <rPr>
            <b/>
            <sz val="9"/>
            <color indexed="81"/>
            <rFont val="Tahoma"/>
            <family val="2"/>
          </rPr>
          <t>BARIS 56 KOLOM H</t>
        </r>
      </text>
    </comment>
    <comment ref="F37" authorId="0">
      <text>
        <r>
          <rPr>
            <b/>
            <sz val="9"/>
            <color indexed="81"/>
            <rFont val="Tahoma"/>
            <family val="2"/>
          </rPr>
          <t>KPSMER OPR25:</t>
        </r>
        <r>
          <rPr>
            <sz val="9"/>
            <color indexed="81"/>
            <rFont val="Tahoma"/>
            <family val="2"/>
          </rPr>
          <t xml:space="preserve">
</t>
        </r>
        <r>
          <rPr>
            <b/>
            <sz val="9"/>
            <color indexed="81"/>
            <rFont val="Tahoma"/>
            <family val="2"/>
          </rPr>
          <t>BARIS 57 KOLOM F</t>
        </r>
      </text>
    </comment>
    <comment ref="G37" authorId="0">
      <text>
        <r>
          <rPr>
            <b/>
            <sz val="9"/>
            <color indexed="81"/>
            <rFont val="Tahoma"/>
            <family val="2"/>
          </rPr>
          <t>KPSMER OPR25:</t>
        </r>
        <r>
          <rPr>
            <sz val="9"/>
            <color indexed="81"/>
            <rFont val="Tahoma"/>
            <family val="2"/>
          </rPr>
          <t xml:space="preserve">
</t>
        </r>
        <r>
          <rPr>
            <b/>
            <sz val="9"/>
            <color indexed="81"/>
            <rFont val="Tahoma"/>
            <family val="2"/>
          </rPr>
          <t>BARIS 57 KOLOM G</t>
        </r>
      </text>
    </comment>
    <comment ref="H37" authorId="0">
      <text>
        <r>
          <rPr>
            <b/>
            <sz val="9"/>
            <color indexed="81"/>
            <rFont val="Tahoma"/>
            <family val="2"/>
          </rPr>
          <t>KPSMER OPR25:</t>
        </r>
        <r>
          <rPr>
            <sz val="9"/>
            <color indexed="81"/>
            <rFont val="Tahoma"/>
            <family val="2"/>
          </rPr>
          <t xml:space="preserve">
</t>
        </r>
        <r>
          <rPr>
            <b/>
            <sz val="9"/>
            <color indexed="81"/>
            <rFont val="Tahoma"/>
            <family val="2"/>
          </rPr>
          <t>BARIS 57 KOLOM H</t>
        </r>
      </text>
    </comment>
    <comment ref="I37" authorId="0">
      <text>
        <r>
          <rPr>
            <b/>
            <sz val="9"/>
            <color indexed="81"/>
            <rFont val="Tahoma"/>
            <family val="2"/>
          </rPr>
          <t>KPSMER OPR25:</t>
        </r>
        <r>
          <rPr>
            <sz val="9"/>
            <color indexed="81"/>
            <rFont val="Tahoma"/>
            <family val="2"/>
          </rPr>
          <t xml:space="preserve">
</t>
        </r>
        <r>
          <rPr>
            <b/>
            <sz val="9"/>
            <color indexed="81"/>
            <rFont val="Tahoma"/>
            <family val="2"/>
          </rPr>
          <t>BARIS 57 KOLOM F</t>
        </r>
      </text>
    </comment>
    <comment ref="J37" authorId="0">
      <text>
        <r>
          <rPr>
            <b/>
            <sz val="9"/>
            <color indexed="81"/>
            <rFont val="Tahoma"/>
            <family val="2"/>
          </rPr>
          <t>KPSMER OPR25:</t>
        </r>
        <r>
          <rPr>
            <sz val="9"/>
            <color indexed="81"/>
            <rFont val="Tahoma"/>
            <family val="2"/>
          </rPr>
          <t xml:space="preserve">
</t>
        </r>
        <r>
          <rPr>
            <b/>
            <sz val="9"/>
            <color indexed="81"/>
            <rFont val="Tahoma"/>
            <family val="2"/>
          </rPr>
          <t>BARIS 57 KOLOM G</t>
        </r>
      </text>
    </comment>
    <comment ref="K37" authorId="0">
      <text>
        <r>
          <rPr>
            <b/>
            <sz val="9"/>
            <color indexed="81"/>
            <rFont val="Tahoma"/>
            <family val="2"/>
          </rPr>
          <t>KPSMER OPR25:</t>
        </r>
        <r>
          <rPr>
            <sz val="9"/>
            <color indexed="81"/>
            <rFont val="Tahoma"/>
            <family val="2"/>
          </rPr>
          <t xml:space="preserve">
</t>
        </r>
        <r>
          <rPr>
            <b/>
            <sz val="9"/>
            <color indexed="81"/>
            <rFont val="Tahoma"/>
            <family val="2"/>
          </rPr>
          <t>BARIS 57 KOLOM H</t>
        </r>
      </text>
    </comment>
    <comment ref="F38" authorId="0">
      <text>
        <r>
          <rPr>
            <b/>
            <sz val="9"/>
            <color indexed="81"/>
            <rFont val="Tahoma"/>
            <family val="2"/>
          </rPr>
          <t>FORM ATMR I.C</t>
        </r>
        <r>
          <rPr>
            <sz val="9"/>
            <color indexed="81"/>
            <rFont val="Tahoma"/>
            <family val="2"/>
          </rPr>
          <t xml:space="preserve">
</t>
        </r>
        <r>
          <rPr>
            <b/>
            <sz val="9"/>
            <color indexed="81"/>
            <rFont val="Tahoma"/>
            <family val="2"/>
          </rPr>
          <t>TOTALNYA HRS SAMA DENGAN BRS 60 KOLOM F</t>
        </r>
      </text>
    </comment>
    <comment ref="G38"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60 KOLOM G</t>
        </r>
      </text>
    </comment>
    <comment ref="H38"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60 KOLOM H</t>
        </r>
      </text>
    </comment>
    <comment ref="F46" authorId="0">
      <text>
        <r>
          <rPr>
            <b/>
            <sz val="9"/>
            <color indexed="81"/>
            <rFont val="Tahoma"/>
            <family val="2"/>
          </rPr>
          <t>KPSMER OPR25:</t>
        </r>
        <r>
          <rPr>
            <sz val="9"/>
            <color indexed="81"/>
            <rFont val="Tahoma"/>
            <family val="2"/>
          </rPr>
          <t xml:space="preserve">
</t>
        </r>
        <r>
          <rPr>
            <b/>
            <sz val="9"/>
            <color indexed="81"/>
            <rFont val="Tahoma"/>
            <family val="2"/>
          </rPr>
          <t>baris 67 kolom F</t>
        </r>
      </text>
    </comment>
    <comment ref="F53" authorId="0">
      <text>
        <r>
          <rPr>
            <b/>
            <sz val="9"/>
            <color indexed="81"/>
            <rFont val="Tahoma"/>
            <family val="2"/>
          </rPr>
          <t>KPSMER OPR25:</t>
        </r>
        <r>
          <rPr>
            <sz val="9"/>
            <color indexed="81"/>
            <rFont val="Tahoma"/>
            <family val="2"/>
          </rPr>
          <t xml:space="preserve">
</t>
        </r>
        <r>
          <rPr>
            <b/>
            <sz val="9"/>
            <color indexed="81"/>
            <rFont val="Tahoma"/>
            <family val="2"/>
          </rPr>
          <t>TOTALNYA HRS SAMA DENGAN TOTAL BRS 78 KOLOM F</t>
        </r>
      </text>
    </comment>
    <comment ref="F87" authorId="0">
      <text>
        <r>
          <rPr>
            <b/>
            <sz val="9"/>
            <color indexed="81"/>
            <rFont val="Tahoma"/>
            <family val="2"/>
          </rPr>
          <t>FORM ATMR I.C</t>
        </r>
        <r>
          <rPr>
            <sz val="9"/>
            <color indexed="81"/>
            <rFont val="Tahoma"/>
            <family val="2"/>
          </rPr>
          <t xml:space="preserve">
</t>
        </r>
        <r>
          <rPr>
            <b/>
            <sz val="9"/>
            <color indexed="81"/>
            <rFont val="Tahoma"/>
            <family val="2"/>
          </rPr>
          <t>TOTALNYA HARUS SAMA DENGAN BARIS 118 KOLOM G</t>
        </r>
      </text>
    </comment>
  </commentList>
</comments>
</file>

<file path=xl/comments2.xml><?xml version="1.0" encoding="utf-8"?>
<comments xmlns="http://schemas.openxmlformats.org/spreadsheetml/2006/main">
  <authors>
    <author>KPSMER OPR03</author>
    <author>KPSMER OPR25</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O14" authorId="0">
      <text>
        <r>
          <rPr>
            <b/>
            <sz val="9"/>
            <color indexed="81"/>
            <rFont val="Tahoma"/>
            <family val="2"/>
          </rPr>
          <t>KPSMER OPR03:</t>
        </r>
        <r>
          <rPr>
            <sz val="9"/>
            <color indexed="81"/>
            <rFont val="Tahoma"/>
            <family val="2"/>
          </rPr>
          <t xml:space="preserve">
 - LIHAT DI FORM ATMR KREDIT FORM I.B
   1.1.a TAGIHAN KEPADA PEMERINTAH INDONESIA (EKSPOSUR ASET &amp; NERACA) TAGIHAN BERSIH BARIS 15 KOLOM E + 2.1.a TAGIHAN PEMERINTAH INDONESIA (EKSPOSUR KEWAJIBAN KOMITMEN) BARIS 224 KOLOM E + 3.1.a TAGIHAN PEMERINTAH INDONESIA (EKSPOSUR YANG MENIMBULKAN RISIKO KREDIT AKIBAT KEGAGALAN PIHAK LAWAN) BARIS 542 KOLOM E</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D15" authorId="1">
      <text>
        <r>
          <rPr>
            <b/>
            <sz val="9"/>
            <color indexed="81"/>
            <rFont val="Tahoma"/>
            <family val="2"/>
          </rPr>
          <t>Lihat di ATMR Form 1.B
1.2 Tagihan Kepada Entitas Sektor Publik lihat di tagihan bersih Baris 46 Kolom E</t>
        </r>
      </text>
    </comment>
    <comment ref="O15" authorId="0">
      <text>
        <r>
          <rPr>
            <b/>
            <sz val="9"/>
            <color indexed="81"/>
            <rFont val="Tahoma"/>
            <family val="2"/>
          </rPr>
          <t>KPSMER OPR03:</t>
        </r>
        <r>
          <rPr>
            <sz val="9"/>
            <color indexed="81"/>
            <rFont val="Tahoma"/>
            <family val="2"/>
          </rPr>
          <t xml:space="preserve">
- LIHAT DI FORM ATMR KREDIT FORM I.B, 
  1.2 TAGIHAN KEPADA ENTITAS SEKTOR PUBLIK, LIHAT DI TAGIHAN BERSIHNYA, NILAINYA MASUKKAN SESUAI DENGAN BOBOT RESIKONYA SESUAIKAN DENGAN RATINGNYA
  2.2  TAGIHAN KEPADA ENTITAS SEKTOR PUBLIK LIHAT DI TAGIHAN BERSIHNYA, NILAINYA MASUKKAN SESUAI DENGAN BOBOT RESIKONYA SESUAIKAN DENGAN RATINGNYA
</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 xml:space="preserve">KPSMER OPR3:
-LIHAT DI FORM ATMR KREDIT I.B 
</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B19" authorId="0">
      <text>
        <r>
          <rPr>
            <b/>
            <sz val="9"/>
            <color indexed="81"/>
            <rFont val="Tahoma"/>
            <family val="2"/>
          </rPr>
          <t>KPSMER OPR03:</t>
        </r>
        <r>
          <rPr>
            <sz val="9"/>
            <color indexed="81"/>
            <rFont val="Tahoma"/>
            <family val="2"/>
          </rPr>
          <t xml:space="preserve">
PORTFOLIO 42</t>
        </r>
      </text>
    </comment>
    <comment ref="B20" authorId="0">
      <text>
        <r>
          <rPr>
            <b/>
            <sz val="9"/>
            <color indexed="81"/>
            <rFont val="Tahoma"/>
            <family val="2"/>
          </rPr>
          <t>KPSMER OPR03:</t>
        </r>
        <r>
          <rPr>
            <sz val="9"/>
            <color indexed="81"/>
            <rFont val="Tahoma"/>
            <family val="2"/>
          </rPr>
          <t xml:space="preserve">
PORTFOLIO 40</t>
        </r>
      </text>
    </comment>
    <comment ref="B21" authorId="0">
      <text>
        <r>
          <rPr>
            <b/>
            <sz val="9"/>
            <color indexed="81"/>
            <rFont val="Tahoma"/>
            <family val="2"/>
          </rPr>
          <t>KPSMER OPR03:</t>
        </r>
        <r>
          <rPr>
            <sz val="9"/>
            <color indexed="81"/>
            <rFont val="Tahoma"/>
            <family val="2"/>
          </rPr>
          <t xml:space="preserve">
PORTFOLIO 36 DAN 13</t>
        </r>
      </text>
    </comment>
    <comment ref="B22" authorId="0">
      <text>
        <r>
          <rPr>
            <b/>
            <sz val="9"/>
            <color indexed="81"/>
            <rFont val="Tahoma"/>
            <family val="2"/>
          </rPr>
          <t>KPSMER OPR03:</t>
        </r>
        <r>
          <rPr>
            <sz val="9"/>
            <color indexed="81"/>
            <rFont val="Tahoma"/>
            <family val="2"/>
          </rPr>
          <t xml:space="preserve">
PORTFOLIO 35</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 ref="D38" authorId="0">
      <text>
        <r>
          <rPr>
            <b/>
            <sz val="9"/>
            <color indexed="81"/>
            <rFont val="Tahoma"/>
            <family val="2"/>
          </rPr>
          <t>KPSMER OPR03:</t>
        </r>
        <r>
          <rPr>
            <sz val="9"/>
            <color indexed="81"/>
            <rFont val="Tahoma"/>
            <family val="2"/>
          </rPr>
          <t xml:space="preserve">
</t>
        </r>
        <r>
          <rPr>
            <b/>
            <sz val="9"/>
            <color indexed="81"/>
            <rFont val="Tahoma"/>
            <family val="2"/>
          </rPr>
          <t>FORM7 KATEGORI PORTFOLIO 10</t>
        </r>
        <r>
          <rPr>
            <sz val="9"/>
            <color indexed="81"/>
            <rFont val="Tahoma"/>
            <family val="2"/>
          </rPr>
          <t xml:space="preserve">
SESUAIKAN DGN LONG TERM RATINGS NYA LIHAT DI  PERINGKAT SURAT BERHARGA DAN LEMBAGA PEMERINGKAT</t>
        </r>
      </text>
    </comment>
    <comment ref="O38" authorId="0">
      <text>
        <r>
          <rPr>
            <b/>
            <sz val="9"/>
            <color indexed="81"/>
            <rFont val="Tahoma"/>
            <family val="2"/>
          </rPr>
          <t>KPSMER OPR03:</t>
        </r>
        <r>
          <rPr>
            <sz val="9"/>
            <color indexed="81"/>
            <rFont val="Tahoma"/>
            <family val="2"/>
          </rPr>
          <t xml:space="preserve">
 - ATMR I.A TAGIHAN KEPADA PEMERINTAH INDONESIA (BRS 14) KREDIT YG DIBERIKAN
- FORM 7, KTGRI PORTFOLIO 10 YG PERINGKAT SRT BRHRGA NYA 00, TOTALNYA MSKKAN DI TANPA PERINGKAT
- ATMR I.A TAGIHAN KEPADA PEMERINTAH INDONESIA (BRS 11) PENEMPATAN PADA BANK INDONESIA
- LSMK52, KTGORI PORTFOLIO 10
- ATMR I.C TAGIHAN KEPADA PEMERINTAH INDONESIA (BRS 45)
- ATMR I.C TAGIHAN KEPADA PEMERINTAH INDONESIA (BRS 68)</t>
        </r>
      </text>
    </comment>
    <comment ref="D39" authorId="0">
      <text>
        <r>
          <rPr>
            <b/>
            <sz val="9"/>
            <color indexed="81"/>
            <rFont val="Tahoma"/>
            <family val="2"/>
          </rPr>
          <t>KPSMER OPR03:
FORM 7 PORTFOLIO 16</t>
        </r>
        <r>
          <rPr>
            <sz val="9"/>
            <color indexed="81"/>
            <rFont val="Tahoma"/>
            <family val="2"/>
          </rPr>
          <t xml:space="preserve">
SESUAIKAN DGN LONG TERM RATINGS NYA LIHAT DI  PERINGKAT SURAT BERHARGA DAN LEMBAGA PEMERINGKAT</t>
        </r>
      </text>
    </comment>
    <comment ref="F39" authorId="0">
      <text>
        <r>
          <rPr>
            <b/>
            <sz val="9"/>
            <color indexed="81"/>
            <rFont val="Tahoma"/>
            <family val="2"/>
          </rPr>
          <t>KPSMER OPR03:</t>
        </r>
        <r>
          <rPr>
            <sz val="9"/>
            <color indexed="81"/>
            <rFont val="Tahoma"/>
            <family val="2"/>
          </rPr>
          <t xml:space="preserve">
</t>
        </r>
        <r>
          <rPr>
            <b/>
            <sz val="9"/>
            <color indexed="81"/>
            <rFont val="Tahoma"/>
            <family val="2"/>
          </rPr>
          <t>FORM7 PORTFOLIO 16 SESUAIKAN DGN LONG TERM RATINGS NYA LIHAT DI  PERINGKAT SURAT BERHARGA DAN LEMBAGA PEMERINGKAT</t>
        </r>
      </text>
    </comment>
    <comment ref="O39" authorId="0">
      <text>
        <r>
          <rPr>
            <b/>
            <sz val="9"/>
            <color indexed="81"/>
            <rFont val="Tahoma"/>
            <family val="2"/>
          </rPr>
          <t>KPSMER OPR03:</t>
        </r>
        <r>
          <rPr>
            <sz val="9"/>
            <color indexed="81"/>
            <rFont val="Tahoma"/>
            <family val="2"/>
          </rPr>
          <t xml:space="preserve">
- ATMR I.A TAGIHAN KEPADA ENTITAS SEKTOR PUBLIK PORTFOLIO 16 (BRS 28) KREDIT YG DIBERIKAN
ATMR I.C TAGIHAN KEPADA ENTITAS SEKTOR PUBLIK (BRS 47)</t>
        </r>
      </text>
    </comment>
    <comment ref="O40" authorId="0">
      <text>
        <r>
          <rPr>
            <b/>
            <sz val="9"/>
            <color indexed="81"/>
            <rFont val="Tahoma"/>
            <family val="2"/>
          </rPr>
          <t>KPSMER OPR3:
-ATMR I.C PORTFOLIO 12 DAN 13 TAGIHAN KEPADA BANK PEMBANGUNAN MULTILATERAL DAN LEMBAGA INTERNASIONAL (BRS 15) DAN (BRS 48 KALAU ADA NILAINYA). NILAINYA AMBIL DITAGIHAN BERSIH</t>
        </r>
      </text>
    </comment>
    <comment ref="D41" authorId="0">
      <text>
        <r>
          <rPr>
            <b/>
            <sz val="9"/>
            <color indexed="81"/>
            <rFont val="Tahoma"/>
            <family val="2"/>
          </rPr>
          <t>KPSMER OPR03:</t>
        </r>
        <r>
          <rPr>
            <sz val="9"/>
            <color indexed="81"/>
            <rFont val="Tahoma"/>
            <family val="2"/>
          </rPr>
          <t xml:space="preserve">
- FORM 7 PORTFOLIO 14 DAN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E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F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-FORM 5 SESUAIKAN DENGAN LONG TERM RATINGSNYA DILIHAT DARI PERINGKAT PERUSAHAAN (SANDI) DAN LEMBAGA PEMERINGKATNYA</t>
        </r>
      </text>
    </comment>
    <comment ref="O41" authorId="0">
      <text>
        <r>
          <rPr>
            <b/>
            <sz val="9"/>
            <color indexed="81"/>
            <rFont val="Tahoma"/>
            <family val="2"/>
          </rPr>
          <t>KPSMER OPR03:</t>
        </r>
        <r>
          <rPr>
            <sz val="9"/>
            <color indexed="81"/>
            <rFont val="Tahoma"/>
            <family val="2"/>
          </rPr>
          <t xml:space="preserve">
- FORM 7 PORTFOLIO 15 PERINGKAT SRT BERHARGA 00
- FORM 5 LEMBAGA PERINGKAT DAN PERINGKAT PERUSAHAAN 00
- ATMR FORM 1.A TAGIHAN KEPADA BANK JANGKA PENDEK (BRS 44) DAN TAGIHAN JANGKA PANJANG (BRS 52)
LSMK 52 TOTAL PORTFOLIO 14 DAN 15
- ATMR FORM I.C TAGIHAN KPD BANK (BRS 50) TAGIHAN JK PENDEK DAN (BRS 51) TAGIHAN JK PANJANG (KLO ADA NILAINYA)
- ATMR I.A TAGIHAN KEPADA BANK (JK PENDEK DAN JK PANJANG), TAGIHAN LAINNYA (BRS 45) DAN (BRS 53) KALAU ADA NILAINYA JG DIMASUKKAN</t>
        </r>
      </text>
    </comment>
    <comment ref="O42" authorId="0">
      <text>
        <r>
          <rPr>
            <b/>
            <sz val="9"/>
            <color indexed="81"/>
            <rFont val="Tahoma"/>
            <family val="2"/>
          </rPr>
          <t>KPSMER OPR03:</t>
        </r>
        <r>
          <rPr>
            <sz val="9"/>
            <color indexed="81"/>
            <rFont val="Tahoma"/>
            <family val="2"/>
          </rPr>
          <t xml:space="preserve">
- ATMR I.A  KREDIT BERAGUN RUMAH TINGGAL, KREDIT YANG DIBERIKAN (BRS 56)
- ATMR I.C  KREDIT BERAGUN RUMAH TINGGA (BRS 52) AMBIL NILAINYA DI TAGIHAN BERSIH</t>
        </r>
      </text>
    </comment>
    <comment ref="O43" authorId="0">
      <text>
        <r>
          <rPr>
            <b/>
            <sz val="9"/>
            <color indexed="81"/>
            <rFont val="Tahoma"/>
            <family val="2"/>
          </rPr>
          <t>KPSMER OPR03:</t>
        </r>
        <r>
          <rPr>
            <sz val="9"/>
            <color indexed="81"/>
            <rFont val="Tahoma"/>
            <family val="2"/>
          </rPr>
          <t xml:space="preserve">
-ATMR I.A KREDIT BERAGUN PROPERTI KOMERSIAL KREDIT YANG DIBERIKAN (BRS 59) DIKURANGI CKPN (KALAU ADA)
- ATMR I.C KREDIT BERAGUN PROPERTI KOMERSIAL (BRS 53) AMBIL NILAINYA DITAGIHAN BERSIH</t>
        </r>
      </text>
    </comment>
    <comment ref="O44" authorId="0">
      <text>
        <r>
          <rPr>
            <b/>
            <sz val="9"/>
            <color indexed="81"/>
            <rFont val="Tahoma"/>
            <family val="2"/>
          </rPr>
          <t>KPSMER OPR03:</t>
        </r>
        <r>
          <rPr>
            <sz val="9"/>
            <color indexed="81"/>
            <rFont val="Tahoma"/>
            <family val="2"/>
          </rPr>
          <t xml:space="preserve">
- ATMR I.A KREDIT PEGAWAI/PENSIUN, KREDIT YANG DIBERIKAN (BRS 62)
- ATMR I.C KREDIT PEGAWAI PENSIUN  (BRS 54), NILAINYA AMBIL DITAGIHAN BERSIH</t>
        </r>
      </text>
    </comment>
    <comment ref="O45" authorId="0">
      <text>
        <r>
          <rPr>
            <b/>
            <sz val="9"/>
            <color indexed="81"/>
            <rFont val="Tahoma"/>
            <family val="2"/>
          </rPr>
          <t>KPSMER OPR03:</t>
        </r>
        <r>
          <rPr>
            <sz val="9"/>
            <color indexed="81"/>
            <rFont val="Tahoma"/>
            <family val="2"/>
          </rPr>
          <t xml:space="preserve">
-ATMR I.A TAGIHAN KEPADA USAHA MIKRO, USAHA KECIL DAN PORTFOLIO RITEL, KREDIT YANG DIBERIKAN (BRS 66)
- ATMR I.C TAGIHAN KEPADA USAHA MIKRO, USAHA KECIL DAN PORTFOLIO RITEL (BRS 55), NILAINYA AMBIL DITAGIHAN BERSIH</t>
        </r>
      </text>
    </comment>
    <comment ref="D46" authorId="0">
      <text>
        <r>
          <rPr>
            <b/>
            <sz val="9"/>
            <color indexed="81"/>
            <rFont val="Tahoma"/>
            <family val="2"/>
          </rPr>
          <t>KPSMER OPR03:</t>
        </r>
        <r>
          <rPr>
            <sz val="9"/>
            <color indexed="81"/>
            <rFont val="Tahoma"/>
            <family val="2"/>
          </rPr>
          <t xml:space="preserve">
-LSMK52 TOTAL PORTFOLIO 35</t>
        </r>
      </text>
    </comment>
    <comment ref="F46" authorId="0">
      <text>
        <r>
          <rPr>
            <b/>
            <sz val="9"/>
            <color indexed="81"/>
            <rFont val="Tahoma"/>
            <family val="2"/>
          </rPr>
          <t>KPSMER OPR03:</t>
        </r>
        <r>
          <rPr>
            <sz val="9"/>
            <color indexed="81"/>
            <rFont val="Tahoma"/>
            <family val="2"/>
          </rPr>
          <t xml:space="preserve">
-FORM 7 PORTFOLIO 35
SESUAIKAN DGN LONG TERM RATINGS NYA LIHAT DI  PERINGKAT SURAT BERHARGA DAN LEMBAGA PEMERINGKAT
</t>
        </r>
      </text>
    </comment>
    <comment ref="O46" authorId="0">
      <text>
        <r>
          <rPr>
            <b/>
            <sz val="9"/>
            <color indexed="81"/>
            <rFont val="Tahoma"/>
            <family val="2"/>
          </rPr>
          <t>KPSMER OPR03:</t>
        </r>
        <r>
          <rPr>
            <sz val="9"/>
            <color indexed="81"/>
            <rFont val="Tahoma"/>
            <family val="2"/>
          </rPr>
          <t xml:space="preserve">
- FORM 07 PORTFOLIO 35 PERINGKAT SURAT BERHARGANYA 00
- ATMR I.A TAGIHAN KEPADA KORPORASI, KREDIT YANG DIBERIKAN (BRS 73) DIKURANGI NILAI CKPN (KALAU ADA)
- ATMR I.C TAGIHAN KEPADA KORPORASI (BRS 56) NILAINYA AMBIL DITAGIHAN BERSIH</t>
        </r>
      </text>
    </comment>
    <comment ref="O47" authorId="0">
      <text>
        <r>
          <rPr>
            <b/>
            <sz val="9"/>
            <color indexed="81"/>
            <rFont val="Tahoma"/>
            <family val="2"/>
          </rPr>
          <t>KPSMER OPR03:</t>
        </r>
        <r>
          <rPr>
            <sz val="9"/>
            <color indexed="81"/>
            <rFont val="Tahoma"/>
            <family val="2"/>
          </rPr>
          <t xml:space="preserve">
-ATMR I.C TAGIHAN YANG TELAH JATUH TEMPO (BRS 24) TOTALNYA, NILAINYA AMBIL DITAGIHAN BERSIH
- ATMR I.C TAGIHAN YANG TELAH JATUH TEMPO (BRS 57) TOTALNYA, NILAINYA AMBIL DITAGIHAN BERSIH</t>
        </r>
      </text>
    </comment>
    <comment ref="O48" authorId="0">
      <text>
        <r>
          <rPr>
            <b/>
            <sz val="9"/>
            <color indexed="81"/>
            <rFont val="Tahoma"/>
            <family val="2"/>
          </rPr>
          <t>KPSMER OPR03:</t>
        </r>
        <r>
          <rPr>
            <sz val="9"/>
            <color indexed="81"/>
            <rFont val="Tahoma"/>
            <family val="2"/>
          </rPr>
          <t xml:space="preserve">
-ATMR I.A  ASET LAINNYA (BRS 86) NILAINYA AMBIL DITAGIHAN BERSIH</t>
        </r>
      </text>
    </comment>
    <comment ref="P49"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3.xml><?xml version="1.0" encoding="utf-8"?>
<comments xmlns="http://schemas.openxmlformats.org/spreadsheetml/2006/main">
  <authors>
    <author>KPSMER OPR03</author>
    <author>KPSMER OPR25</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O14" authorId="0">
      <text>
        <r>
          <rPr>
            <b/>
            <sz val="9"/>
            <color indexed="81"/>
            <rFont val="Tahoma"/>
            <family val="2"/>
          </rPr>
          <t>KPSMER OPR03:</t>
        </r>
        <r>
          <rPr>
            <sz val="9"/>
            <color indexed="81"/>
            <rFont val="Tahoma"/>
            <family val="2"/>
          </rPr>
          <t xml:space="preserve">
 - LIHAT DI FORM ATMR KREDIT FORM I.B
   1.1.a TAGIHAN KEPADA PEMERINTAH INDONESIA (EKSPOSUR ASET &amp; NERACA) TAGIHAN BERSIH BARIS 15 KOLOM E + 2.1.a TAGIHAN PEMERINTAH INDONESIA (EKSPOSUR KEWAJIBAN KOMITMEN) BARIS 224 KOLOM E + 3.1.a TAGIHAN PEMERINTAH INDONESIA (EKSPOSUR YANG MENIMBULKAN RISIKO KREDIT AKIBAT KEGAGALAN PIHAK LAWAN) BARIS 542 KOLOM E</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D15" authorId="1">
      <text>
        <r>
          <rPr>
            <b/>
            <sz val="9"/>
            <color indexed="81"/>
            <rFont val="Tahoma"/>
            <family val="2"/>
          </rPr>
          <t>Lihat di ATMR Form 1.B
1.2 Tagihan Kepada Entitas Sektor Publik lihat di tagihan bersih Baris 46 Kolom E</t>
        </r>
      </text>
    </comment>
    <comment ref="O15" authorId="0">
      <text>
        <r>
          <rPr>
            <b/>
            <sz val="9"/>
            <color indexed="81"/>
            <rFont val="Tahoma"/>
            <family val="2"/>
          </rPr>
          <t>KPSMER OPR03:</t>
        </r>
        <r>
          <rPr>
            <sz val="9"/>
            <color indexed="81"/>
            <rFont val="Tahoma"/>
            <family val="2"/>
          </rPr>
          <t xml:space="preserve">
- LIHAT DI FORM ATMR KREDIT FORM I.B, 
  1.2 TAGIHAN KEPADA ENTITAS SEKTOR PUBLIK, LIHAT DI TAGIHAN BERSIHNYA, NILAINYA MASUKKAN SESUAI DENGAN BOBOT RESIKONYA SESUAIKAN DENGAN RATINGNYA
  2.2  TAGIHAN KEPADA ENTITAS SEKTOR PUBLIK LIHAT DI TAGIHAN BERSIHNYA, NILAINYA MASUKKAN SESUAI DENGAN BOBOT RESIKONYA SESUAIKAN DENGAN RATINGNYA
</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 xml:space="preserve">KPSMER OPR3:
-LIHAT DI FORM ATMR KREDIT I.B DIKOLOM E SESUAIKAN DENGAN BOBOT RISIKO NYA
</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D17" authorId="1">
      <text>
        <r>
          <rPr>
            <b/>
            <sz val="9"/>
            <color indexed="81"/>
            <rFont val="Tahoma"/>
            <charset val="1"/>
          </rPr>
          <t>-E85+E105+</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B19" authorId="0">
      <text>
        <r>
          <rPr>
            <b/>
            <sz val="9"/>
            <color indexed="81"/>
            <rFont val="Tahoma"/>
            <family val="2"/>
          </rPr>
          <t>KPSMER OPR03:</t>
        </r>
        <r>
          <rPr>
            <sz val="9"/>
            <color indexed="81"/>
            <rFont val="Tahoma"/>
            <family val="2"/>
          </rPr>
          <t xml:space="preserve">
PORTFOLIO 42</t>
        </r>
      </text>
    </comment>
    <comment ref="B20" authorId="0">
      <text>
        <r>
          <rPr>
            <b/>
            <sz val="9"/>
            <color indexed="81"/>
            <rFont val="Tahoma"/>
            <family val="2"/>
          </rPr>
          <t>KPSMER OPR03:</t>
        </r>
        <r>
          <rPr>
            <sz val="9"/>
            <color indexed="81"/>
            <rFont val="Tahoma"/>
            <family val="2"/>
          </rPr>
          <t xml:space="preserve">
PORTFOLIO 40</t>
        </r>
      </text>
    </comment>
    <comment ref="B21" authorId="0">
      <text>
        <r>
          <rPr>
            <b/>
            <sz val="9"/>
            <color indexed="81"/>
            <rFont val="Tahoma"/>
            <family val="2"/>
          </rPr>
          <t>KPSMER OPR03:</t>
        </r>
        <r>
          <rPr>
            <sz val="9"/>
            <color indexed="81"/>
            <rFont val="Tahoma"/>
            <family val="2"/>
          </rPr>
          <t xml:space="preserve">
PORTFOLIO 36 DAN 13</t>
        </r>
      </text>
    </comment>
    <comment ref="B22" authorId="0">
      <text>
        <r>
          <rPr>
            <b/>
            <sz val="9"/>
            <color indexed="81"/>
            <rFont val="Tahoma"/>
            <family val="2"/>
          </rPr>
          <t>KPSMER OPR03:</t>
        </r>
        <r>
          <rPr>
            <sz val="9"/>
            <color indexed="81"/>
            <rFont val="Tahoma"/>
            <family val="2"/>
          </rPr>
          <t xml:space="preserve">
PORTFOLIO 35</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 ref="D38" authorId="0">
      <text>
        <r>
          <rPr>
            <b/>
            <sz val="9"/>
            <color indexed="81"/>
            <rFont val="Tahoma"/>
            <family val="2"/>
          </rPr>
          <t>KPSMER OPR03:</t>
        </r>
        <r>
          <rPr>
            <sz val="9"/>
            <color indexed="81"/>
            <rFont val="Tahoma"/>
            <family val="2"/>
          </rPr>
          <t xml:space="preserve">
</t>
        </r>
        <r>
          <rPr>
            <b/>
            <sz val="9"/>
            <color indexed="81"/>
            <rFont val="Tahoma"/>
            <family val="2"/>
          </rPr>
          <t>FORM7 KATEGORI PORTFOLIO 10</t>
        </r>
        <r>
          <rPr>
            <sz val="9"/>
            <color indexed="81"/>
            <rFont val="Tahoma"/>
            <family val="2"/>
          </rPr>
          <t xml:space="preserve">
SESUAIKAN DGN LONG TERM RATINGS NYA LIHAT DI  PERINGKAT SURAT BERHARGA DAN LEMBAGA PEMERINGKAT</t>
        </r>
      </text>
    </comment>
    <comment ref="O38" authorId="0">
      <text>
        <r>
          <rPr>
            <b/>
            <sz val="9"/>
            <color indexed="81"/>
            <rFont val="Tahoma"/>
            <family val="2"/>
          </rPr>
          <t>KPSMER OPR03:</t>
        </r>
        <r>
          <rPr>
            <sz val="9"/>
            <color indexed="81"/>
            <rFont val="Tahoma"/>
            <family val="2"/>
          </rPr>
          <t xml:space="preserve">
 - ATMR I.A TAGIHAN KEPADA PEMERINTAH INDONESIA (BRS 14) KREDIT YG DIBERIKAN
- FORM 7, KTGRI PORTFOLIO 10 YG PERINGKAT SRT BRHRGA NYA 00, TOTALNYA MSKKAN DI TANPA PERINGKAT
- ATMR I.A TAGIHAN KEPADA PEMERINTAH INDONESIA (BRS 11) PENEMPATAN PADA BANK INDONESIA
- LSMK52, KTGORI PORTFOLIO 10
- ATMR I.C TAGIHAN KEPADA PEMERINTAH INDONESIA (BRS 45)
- ATMR I.C TAGIHAN KEPADA PEMERINTAH INDONESIA (BRS 68)</t>
        </r>
      </text>
    </comment>
    <comment ref="D39" authorId="0">
      <text>
        <r>
          <rPr>
            <b/>
            <sz val="9"/>
            <color indexed="81"/>
            <rFont val="Tahoma"/>
            <family val="2"/>
          </rPr>
          <t>KPSMER OPR03:
FORM 7 PORTFOLIO 16</t>
        </r>
        <r>
          <rPr>
            <sz val="9"/>
            <color indexed="81"/>
            <rFont val="Tahoma"/>
            <family val="2"/>
          </rPr>
          <t xml:space="preserve">
SESUAIKAN DGN LONG TERM RATINGS NYA LIHAT DI  PERINGKAT SURAT BERHARGA DAN LEMBAGA PEMERINGKAT</t>
        </r>
      </text>
    </comment>
    <comment ref="F39" authorId="0">
      <text>
        <r>
          <rPr>
            <b/>
            <sz val="9"/>
            <color indexed="81"/>
            <rFont val="Tahoma"/>
            <family val="2"/>
          </rPr>
          <t>KPSMER OPR03:</t>
        </r>
        <r>
          <rPr>
            <sz val="9"/>
            <color indexed="81"/>
            <rFont val="Tahoma"/>
            <family val="2"/>
          </rPr>
          <t xml:space="preserve">
</t>
        </r>
        <r>
          <rPr>
            <b/>
            <sz val="9"/>
            <color indexed="81"/>
            <rFont val="Tahoma"/>
            <family val="2"/>
          </rPr>
          <t>FORM7 PORTFOLIO 16 SESUAIKAN DGN LONG TERM RATINGS NYA LIHAT DI  PERINGKAT SURAT BERHARGA DAN LEMBAGA PEMERINGKAT</t>
        </r>
      </text>
    </comment>
    <comment ref="O39" authorId="0">
      <text>
        <r>
          <rPr>
            <b/>
            <sz val="9"/>
            <color indexed="81"/>
            <rFont val="Tahoma"/>
            <family val="2"/>
          </rPr>
          <t>KPSMER OPR03:</t>
        </r>
        <r>
          <rPr>
            <sz val="9"/>
            <color indexed="81"/>
            <rFont val="Tahoma"/>
            <family val="2"/>
          </rPr>
          <t xml:space="preserve">
- ATMR I.A TAGIHAN KEPADA ENTITAS SEKTOR PUBLIK PORTFOLIO 16 (BRS 28) KREDIT YG DIBERIKAN
ATMR I.C TAGIHAN KEPADA ENTITAS SEKTOR PUBLIK (BRS 47)</t>
        </r>
      </text>
    </comment>
    <comment ref="O40" authorId="0">
      <text>
        <r>
          <rPr>
            <b/>
            <sz val="9"/>
            <color indexed="81"/>
            <rFont val="Tahoma"/>
            <family val="2"/>
          </rPr>
          <t>KPSMER OPR3:
-ATMR I.C PORTFOLIO 12 DAN 13 TAGIHAN KEPADA BANK PEMBANGUNAN MULTILATERAL DAN LEMBAGA INTERNASIONAL (BRS 15) DAN (BRS 48 KALAU ADA NILAINYA). NILAINYA AMBIL DITAGIHAN BERSIH</t>
        </r>
      </text>
    </comment>
    <comment ref="D41" authorId="0">
      <text>
        <r>
          <rPr>
            <b/>
            <sz val="9"/>
            <color indexed="81"/>
            <rFont val="Tahoma"/>
            <family val="2"/>
          </rPr>
          <t>KPSMER OPR03:</t>
        </r>
        <r>
          <rPr>
            <sz val="9"/>
            <color indexed="81"/>
            <rFont val="Tahoma"/>
            <family val="2"/>
          </rPr>
          <t xml:space="preserve">
- FORM 7 PORTFOLIO 14 DAN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E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 FORM 5 SESUAIKAN DENGAN LONG TERM RATINGSNYA DILIHAT DARI PERINGKAT PERUSAHAAN (SANDI) DAN LEMBAGA PEMERINGKATNYA
- FORM 5 SESUAIKAN DENGAN LONG TERM RATINGSNYA DILIHAT DARI PERINGKAT PERUSAHAAN (SANDI) DAN LEMBAGA PEMERINGKATNYA</t>
        </r>
      </text>
    </comment>
    <comment ref="F41" authorId="0">
      <text>
        <r>
          <rPr>
            <b/>
            <sz val="9"/>
            <color indexed="81"/>
            <rFont val="Tahoma"/>
            <family val="2"/>
          </rPr>
          <t>KPSMER OPR03:</t>
        </r>
        <r>
          <rPr>
            <sz val="9"/>
            <color indexed="81"/>
            <rFont val="Tahoma"/>
            <family val="2"/>
          </rPr>
          <t xml:space="preserve">
- FORM 7 PORTFOLIO 15
SESUAIKAN DGN LONG TERM RATINGS NYA LIHAT DI  PERINGKAT SURAT BERHARGA DAN LEMBAGA PEMERINGKAT
-FORM 5 SESUAIKAN DENGAN LONG TERM RATINGSNYA DILIHAT DARI PERINGKAT PERUSAHAAN (SANDI) DAN LEMBAGA PEMERINGKATNYA</t>
        </r>
      </text>
    </comment>
    <comment ref="O41" authorId="0">
      <text>
        <r>
          <rPr>
            <b/>
            <sz val="9"/>
            <color indexed="81"/>
            <rFont val="Tahoma"/>
            <family val="2"/>
          </rPr>
          <t>KPSMER OPR03:</t>
        </r>
        <r>
          <rPr>
            <sz val="9"/>
            <color indexed="81"/>
            <rFont val="Tahoma"/>
            <family val="2"/>
          </rPr>
          <t xml:space="preserve">
- FORM 7 PORTFOLIO 15 PERINGKAT SRT BERHARGA 00
- FORM 5 LEMBAGA PERINGKAT DAN PERINGKAT PERUSAHAAN 00
- ATMR FORM 1.A TAGIHAN KEPADA BANK JANGKA PENDEK (BRS 44) DAN TAGIHAN JANGKA PANJANG (BRS 52)
LSMK 52 TOTAL PORTFOLIO 14 DAN 15
- ATMR FORM I.C TAGIHAN KPD BANK (BRS 50) TAGIHAN JK PENDEK DAN (BRS 51) TAGIHAN JK PANJANG (KLO ADA NILAINYA)
- ATMR I.A TAGIHAN KEPADA BANK (JK PENDEK DAN JK PANJANG), TAGIHAN LAINNYA (BRS 45) DAN (BRS 53) KALAU ADA NILAINYA JG DIMASUKKAN</t>
        </r>
      </text>
    </comment>
    <comment ref="O42" authorId="0">
      <text>
        <r>
          <rPr>
            <b/>
            <sz val="9"/>
            <color indexed="81"/>
            <rFont val="Tahoma"/>
            <family val="2"/>
          </rPr>
          <t>KPSMER OPR03:</t>
        </r>
        <r>
          <rPr>
            <sz val="9"/>
            <color indexed="81"/>
            <rFont val="Tahoma"/>
            <family val="2"/>
          </rPr>
          <t xml:space="preserve">
- ATMR I.A  KREDIT BERAGUN RUMAH TINGGAL, KREDIT YANG DIBERIKAN (BRS 56)
- ATMR I.C  KREDIT BERAGUN RUMAH TINGGA (BRS 52) AMBIL NILAINYA DI TAGIHAN BERSIH</t>
        </r>
      </text>
    </comment>
    <comment ref="O43" authorId="0">
      <text>
        <r>
          <rPr>
            <b/>
            <sz val="9"/>
            <color indexed="81"/>
            <rFont val="Tahoma"/>
            <family val="2"/>
          </rPr>
          <t>KPSMER OPR03:</t>
        </r>
        <r>
          <rPr>
            <sz val="9"/>
            <color indexed="81"/>
            <rFont val="Tahoma"/>
            <family val="2"/>
          </rPr>
          <t xml:space="preserve">
-ATMR I.A KREDIT BERAGUN PROPERTI KOMERSIAL KREDIT YANG DIBERIKAN (BRS 59) DIKURANGI CKPN (KALAU ADA)
- ATMR I.C KREDIT BERAGUN PROPERTI KOMERSIAL (BRS 53) AMBIL NILAINYA DITAGIHAN BERSIH</t>
        </r>
      </text>
    </comment>
    <comment ref="O44" authorId="0">
      <text>
        <r>
          <rPr>
            <b/>
            <sz val="9"/>
            <color indexed="81"/>
            <rFont val="Tahoma"/>
            <family val="2"/>
          </rPr>
          <t>KPSMER OPR03:</t>
        </r>
        <r>
          <rPr>
            <sz val="9"/>
            <color indexed="81"/>
            <rFont val="Tahoma"/>
            <family val="2"/>
          </rPr>
          <t xml:space="preserve">
- ATMR I.A KREDIT PEGAWAI/PENSIUN, KREDIT YANG DIBERIKAN (BRS 62)
- ATMR I.C KREDIT PEGAWAI PENSIUN  (BRS 54), NILAINYA AMBIL DITAGIHAN BERSIH</t>
        </r>
      </text>
    </comment>
    <comment ref="O45" authorId="0">
      <text>
        <r>
          <rPr>
            <b/>
            <sz val="9"/>
            <color indexed="81"/>
            <rFont val="Tahoma"/>
            <family val="2"/>
          </rPr>
          <t>KPSMER OPR03:</t>
        </r>
        <r>
          <rPr>
            <sz val="9"/>
            <color indexed="81"/>
            <rFont val="Tahoma"/>
            <family val="2"/>
          </rPr>
          <t xml:space="preserve">
-ATMR I.A TAGIHAN KEPADA USAHA MIKRO, USAHA KECIL DAN PORTFOLIO RITEL, KREDIT YANG DIBERIKAN (BRS 66)
- ATMR I.C TAGIHAN KEPADA USAHA MIKRO, USAHA KECIL DAN PORTFOLIO RITEL (BRS 55), NILAINYA AMBIL DITAGIHAN BERSIH</t>
        </r>
      </text>
    </comment>
    <comment ref="D46" authorId="0">
      <text>
        <r>
          <rPr>
            <b/>
            <sz val="9"/>
            <color indexed="81"/>
            <rFont val="Tahoma"/>
            <family val="2"/>
          </rPr>
          <t>KPSMER OPR03:</t>
        </r>
        <r>
          <rPr>
            <sz val="9"/>
            <color indexed="81"/>
            <rFont val="Tahoma"/>
            <family val="2"/>
          </rPr>
          <t xml:space="preserve">
-LSMK52 TOTAL PORTFOLIO 35</t>
        </r>
      </text>
    </comment>
    <comment ref="F46" authorId="0">
      <text>
        <r>
          <rPr>
            <b/>
            <sz val="9"/>
            <color indexed="81"/>
            <rFont val="Tahoma"/>
            <family val="2"/>
          </rPr>
          <t>KPSMER OPR03:</t>
        </r>
        <r>
          <rPr>
            <sz val="9"/>
            <color indexed="81"/>
            <rFont val="Tahoma"/>
            <family val="2"/>
          </rPr>
          <t xml:space="preserve">
-FORM 7 PORTFOLIO 35
SESUAIKAN DGN LONG TERM RATINGS NYA LIHAT DI  PERINGKAT SURAT BERHARGA DAN LEMBAGA PEMERINGKAT
</t>
        </r>
      </text>
    </comment>
    <comment ref="O46" authorId="0">
      <text>
        <r>
          <rPr>
            <b/>
            <sz val="9"/>
            <color indexed="81"/>
            <rFont val="Tahoma"/>
            <family val="2"/>
          </rPr>
          <t>KPSMER OPR03:</t>
        </r>
        <r>
          <rPr>
            <sz val="9"/>
            <color indexed="81"/>
            <rFont val="Tahoma"/>
            <family val="2"/>
          </rPr>
          <t xml:space="preserve">
- FORM 07 PORTFOLIO 35 PERINGKAT SURAT BERHARGANYA 00
- ATMR I.A TAGIHAN KEPADA KORPORASI, KREDIT YANG DIBERIKAN (BRS 73) DIKURANGI NILAI CKPN (KALAU ADA)
- ATMR I.C TAGIHAN KEPADA KORPORASI (BRS 56) NILAINYA AMBIL DITAGIHAN BERSIH</t>
        </r>
      </text>
    </comment>
    <comment ref="O47" authorId="0">
      <text>
        <r>
          <rPr>
            <b/>
            <sz val="9"/>
            <color indexed="81"/>
            <rFont val="Tahoma"/>
            <family val="2"/>
          </rPr>
          <t>KPSMER OPR03:</t>
        </r>
        <r>
          <rPr>
            <sz val="9"/>
            <color indexed="81"/>
            <rFont val="Tahoma"/>
            <family val="2"/>
          </rPr>
          <t xml:space="preserve">
-ATMR I.C TAGIHAN YANG TELAH JATUH TEMPO (BRS 24) TOTALNYA, NILAINYA AMBIL DITAGIHAN BERSIH
- ATMR I.C TAGIHAN YANG TELAH JATUH TEMPO (BRS 57) TOTALNYA, NILAINYA AMBIL DITAGIHAN BERSIH</t>
        </r>
      </text>
    </comment>
    <comment ref="O48" authorId="0">
      <text>
        <r>
          <rPr>
            <b/>
            <sz val="9"/>
            <color indexed="81"/>
            <rFont val="Tahoma"/>
            <family val="2"/>
          </rPr>
          <t>KPSMER OPR03:</t>
        </r>
        <r>
          <rPr>
            <sz val="9"/>
            <color indexed="81"/>
            <rFont val="Tahoma"/>
            <family val="2"/>
          </rPr>
          <t xml:space="preserve">
-ATMR I.A  ASET LAINNYA (BRS 86) NILAINYA AMBIL DITAGIHAN BERSIH</t>
        </r>
      </text>
    </comment>
    <comment ref="P49"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4.xml><?xml version="1.0" encoding="utf-8"?>
<comments xmlns="http://schemas.openxmlformats.org/spreadsheetml/2006/main">
  <authors>
    <author>KPSMER OPR03</author>
    <author>KPSMER OPR25</author>
  </authors>
  <commentList>
    <comment ref="B14" authorId="0">
      <text>
        <r>
          <rPr>
            <b/>
            <sz val="9"/>
            <color indexed="81"/>
            <rFont val="Tahoma"/>
            <family val="2"/>
          </rPr>
          <t>KPSMER OPR03:</t>
        </r>
        <r>
          <rPr>
            <sz val="9"/>
            <color indexed="81"/>
            <rFont val="Tahoma"/>
            <family val="2"/>
          </rPr>
          <t xml:space="preserve">
</t>
        </r>
        <r>
          <rPr>
            <b/>
            <sz val="9"/>
            <color indexed="81"/>
            <rFont val="Tahoma"/>
            <family val="2"/>
          </rPr>
          <t>PORTFOLIO 10</t>
        </r>
      </text>
    </comment>
    <comment ref="O14" authorId="0">
      <text>
        <r>
          <rPr>
            <b/>
            <sz val="9"/>
            <color indexed="81"/>
            <rFont val="Tahoma"/>
            <family val="2"/>
          </rPr>
          <t>KPSMER OPR03:</t>
        </r>
        <r>
          <rPr>
            <sz val="9"/>
            <color indexed="81"/>
            <rFont val="Tahoma"/>
            <family val="2"/>
          </rPr>
          <t xml:space="preserve">
 - LIHAT DI FORM ATMR KREDIT FORM I.B
   1.1.a TAGIHAN KEPADA PEMERINTAH INDONESIA (EKSPOSUR ASET &amp; NERACA) TAGIHAN BERSIH BARIS 15 KOLOM E + 2.1.a TAGIHAN PEMERINTAH INDONESIA (EKSPOSUR KEWAJIBAN KOMITMEN) BARIS 224 KOLOM E + 3.1.a TAGIHAN PEMERINTAH INDONESIA (EKSPOSUR YANG MENIMBULKAN RISIKO KREDIT AKIBAT KEGAGALAN PIHAK LAWAN) BARIS 542 KOLOM E</t>
        </r>
      </text>
    </comment>
    <comment ref="B15" authorId="0">
      <text>
        <r>
          <rPr>
            <b/>
            <sz val="9"/>
            <color indexed="81"/>
            <rFont val="Tahoma"/>
            <family val="2"/>
          </rPr>
          <t>KPSMER OPR03:</t>
        </r>
        <r>
          <rPr>
            <sz val="9"/>
            <color indexed="81"/>
            <rFont val="Tahoma"/>
            <family val="2"/>
          </rPr>
          <t xml:space="preserve">
</t>
        </r>
        <r>
          <rPr>
            <b/>
            <sz val="9"/>
            <color indexed="81"/>
            <rFont val="Tahoma"/>
            <family val="2"/>
          </rPr>
          <t>PORTFOLIO 16</t>
        </r>
      </text>
    </comment>
    <comment ref="D15" authorId="1">
      <text>
        <r>
          <rPr>
            <b/>
            <sz val="9"/>
            <color indexed="81"/>
            <rFont val="Tahoma"/>
            <family val="2"/>
          </rPr>
          <t>Lihat di ATMR Form 1.B
1.2 Tagihan Kepada Entitas Sektor Publik lihat di tagihan bersih Baris 46 Kolom E</t>
        </r>
      </text>
    </comment>
    <comment ref="O15" authorId="0">
      <text>
        <r>
          <rPr>
            <b/>
            <sz val="9"/>
            <color indexed="81"/>
            <rFont val="Tahoma"/>
            <family val="2"/>
          </rPr>
          <t>KPSMER OPR03:</t>
        </r>
        <r>
          <rPr>
            <sz val="9"/>
            <color indexed="81"/>
            <rFont val="Tahoma"/>
            <family val="2"/>
          </rPr>
          <t xml:space="preserve">
- LIHAT DI FORM ATMR KREDIT FORM I.B, 
  1.2 TAGIHAN KEPADA ENTITAS SEKTOR PUBLIK, LIHAT DI TAGIHAN BERSIHNYA, NILAINYA MASUKKAN SESUAI DENGAN BOBOT RESIKONYA SESUAIKAN DENGAN RATINGNYA
  2.2  TAGIHAN KEPADA ENTITAS SEKTOR PUBLIK LIHAT DI TAGIHAN BERSIHNYA, NILAINYA MASUKKAN SESUAI DENGAN BOBOT RESIKONYA SESUAIKAN DENGAN RATINGNYA
</t>
        </r>
      </text>
    </comment>
    <comment ref="B16" authorId="0">
      <text>
        <r>
          <rPr>
            <b/>
            <sz val="9"/>
            <color indexed="81"/>
            <rFont val="Tahoma"/>
            <family val="2"/>
          </rPr>
          <t>KPSMER OPR03:</t>
        </r>
        <r>
          <rPr>
            <sz val="9"/>
            <color indexed="81"/>
            <rFont val="Tahoma"/>
            <family val="2"/>
          </rPr>
          <t xml:space="preserve">
</t>
        </r>
        <r>
          <rPr>
            <b/>
            <sz val="9"/>
            <color indexed="81"/>
            <rFont val="Tahoma"/>
            <family val="2"/>
          </rPr>
          <t>PORTFOLIO 12 DAN 13</t>
        </r>
      </text>
    </comment>
    <comment ref="O16" authorId="0">
      <text>
        <r>
          <rPr>
            <b/>
            <sz val="9"/>
            <color indexed="81"/>
            <rFont val="Tahoma"/>
            <family val="2"/>
          </rPr>
          <t xml:space="preserve">KPSMER OPR3:
-LIHAT DI FORM ATMR KREDIT I.B DIKOLOM E SESUAIKAN DENGAN BOBOT RISIKO NYA
</t>
        </r>
      </text>
    </comment>
    <comment ref="B17" authorId="0">
      <text>
        <r>
          <rPr>
            <b/>
            <sz val="9"/>
            <color indexed="81"/>
            <rFont val="Tahoma"/>
            <family val="2"/>
          </rPr>
          <t>KPSMER OPR03:</t>
        </r>
        <r>
          <rPr>
            <sz val="9"/>
            <color indexed="81"/>
            <rFont val="Tahoma"/>
            <family val="2"/>
          </rPr>
          <t xml:space="preserve">
</t>
        </r>
        <r>
          <rPr>
            <b/>
            <sz val="9"/>
            <color indexed="81"/>
            <rFont val="Tahoma"/>
            <family val="2"/>
          </rPr>
          <t>PORTFOLIO 14 DAN 15 
(JK PANJANG DAN JK PENDEK DIGABUNG)</t>
        </r>
      </text>
    </comment>
    <comment ref="D17" authorId="1">
      <text>
        <r>
          <rPr>
            <b/>
            <sz val="9"/>
            <color indexed="81"/>
            <rFont val="Tahoma"/>
            <charset val="1"/>
          </rPr>
          <t>-E85+E105+</t>
        </r>
      </text>
    </comment>
    <comment ref="B18" authorId="0">
      <text>
        <r>
          <rPr>
            <b/>
            <sz val="9"/>
            <color indexed="81"/>
            <rFont val="Tahoma"/>
            <family val="2"/>
          </rPr>
          <t>KPSMER OPR03:</t>
        </r>
        <r>
          <rPr>
            <sz val="9"/>
            <color indexed="81"/>
            <rFont val="Tahoma"/>
            <family val="2"/>
          </rPr>
          <t xml:space="preserve">
</t>
        </r>
        <r>
          <rPr>
            <b/>
            <sz val="9"/>
            <color indexed="81"/>
            <rFont val="Tahoma"/>
            <family val="2"/>
          </rPr>
          <t>PORTFOLIO 373839</t>
        </r>
      </text>
    </comment>
    <comment ref="B19" authorId="0">
      <text>
        <r>
          <rPr>
            <b/>
            <sz val="9"/>
            <color indexed="81"/>
            <rFont val="Tahoma"/>
            <family val="2"/>
          </rPr>
          <t>KPSMER OPR03:</t>
        </r>
        <r>
          <rPr>
            <sz val="9"/>
            <color indexed="81"/>
            <rFont val="Tahoma"/>
            <family val="2"/>
          </rPr>
          <t xml:space="preserve">
PORTFOLIO 42</t>
        </r>
      </text>
    </comment>
    <comment ref="B20" authorId="0">
      <text>
        <r>
          <rPr>
            <b/>
            <sz val="9"/>
            <color indexed="81"/>
            <rFont val="Tahoma"/>
            <family val="2"/>
          </rPr>
          <t>KPSMER OPR03:</t>
        </r>
        <r>
          <rPr>
            <sz val="9"/>
            <color indexed="81"/>
            <rFont val="Tahoma"/>
            <family val="2"/>
          </rPr>
          <t xml:space="preserve">
PORTFOLIO 40</t>
        </r>
      </text>
    </comment>
    <comment ref="B21" authorId="0">
      <text>
        <r>
          <rPr>
            <b/>
            <sz val="9"/>
            <color indexed="81"/>
            <rFont val="Tahoma"/>
            <family val="2"/>
          </rPr>
          <t>KPSMER OPR03:</t>
        </r>
        <r>
          <rPr>
            <sz val="9"/>
            <color indexed="81"/>
            <rFont val="Tahoma"/>
            <family val="2"/>
          </rPr>
          <t xml:space="preserve">
PORTFOLIO 36 DAN 13</t>
        </r>
      </text>
    </comment>
    <comment ref="B22" authorId="0">
      <text>
        <r>
          <rPr>
            <b/>
            <sz val="9"/>
            <color indexed="81"/>
            <rFont val="Tahoma"/>
            <family val="2"/>
          </rPr>
          <t>KPSMER OPR03:</t>
        </r>
        <r>
          <rPr>
            <sz val="9"/>
            <color indexed="81"/>
            <rFont val="Tahoma"/>
            <family val="2"/>
          </rPr>
          <t xml:space="preserve">
PORTFOLIO 35</t>
        </r>
      </text>
    </comment>
    <comment ref="O24" authorId="0">
      <text>
        <r>
          <rPr>
            <b/>
            <sz val="9"/>
            <color indexed="81"/>
            <rFont val="Tahoma"/>
            <family val="2"/>
          </rPr>
          <t>KPSMER OPR03:</t>
        </r>
        <r>
          <rPr>
            <sz val="9"/>
            <color indexed="81"/>
            <rFont val="Tahoma"/>
            <family val="2"/>
          </rPr>
          <t xml:space="preserve">
-ATMR I.A  ASET LAINNYA (BRS 86) NILAINYA AMBIL DITAGIHAN BERSIH</t>
        </r>
      </text>
    </comment>
    <comment ref="P25" authorId="0">
      <text>
        <r>
          <rPr>
            <b/>
            <sz val="9"/>
            <color indexed="81"/>
            <rFont val="Tahoma"/>
            <family val="2"/>
          </rPr>
          <t>KPSMER OPR03:</t>
        </r>
        <r>
          <rPr>
            <sz val="9"/>
            <color indexed="81"/>
            <rFont val="Tahoma"/>
            <family val="2"/>
          </rPr>
          <t xml:space="preserve">
TOTAL NYA HARUS SAMA DENGAN FORM ATMR I.C (BRS 37+ BRS 60+ BRS 78)</t>
        </r>
      </text>
    </comment>
    <comment ref="O38" authorId="0">
      <text>
        <r>
          <rPr>
            <b/>
            <sz val="9"/>
            <color indexed="81"/>
            <rFont val="Tahoma"/>
            <family val="2"/>
          </rPr>
          <t>KPSMER OPR03:</t>
        </r>
        <r>
          <rPr>
            <sz val="9"/>
            <color indexed="81"/>
            <rFont val="Tahoma"/>
            <family val="2"/>
          </rPr>
          <t xml:space="preserve">
 - LIHAT DI FORM ATMR KREDIT FORM I.B
   1.1.a TAGIHAN KEPADA PEMERINTAH INDONESIA (EKSPOSUR ASET &amp; NERACA) TAGIHAN BERSIH BARIS 15 KOLOM E + 2.1.a TAGIHAN PEMERINTAH INDONESIA (EKSPOSUR KEWAJIBAN KOMITMEN) BARIS 224 KOLOM E + 3.1.a TAGIHAN PEMERINTAH INDONESIA (EKSPOSUR YANG MENIMBULKAN RISIKO KREDIT AKIBAT KEGAGALAN PIHAK LAWAN) BARIS 542 KOLOM E</t>
        </r>
      </text>
    </comment>
    <comment ref="D39" authorId="1">
      <text>
        <r>
          <rPr>
            <b/>
            <sz val="9"/>
            <color indexed="81"/>
            <rFont val="Tahoma"/>
            <family val="2"/>
          </rPr>
          <t>Lihat di ATMR Form 1.B
1.2 Tagihan Kepada Entitas Sektor Publik lihat di tagihan bersih Baris 46 Kolom E</t>
        </r>
      </text>
    </comment>
    <comment ref="O39" authorId="0">
      <text>
        <r>
          <rPr>
            <b/>
            <sz val="9"/>
            <color indexed="81"/>
            <rFont val="Tahoma"/>
            <family val="2"/>
          </rPr>
          <t>KPSMER OPR03:</t>
        </r>
        <r>
          <rPr>
            <sz val="9"/>
            <color indexed="81"/>
            <rFont val="Tahoma"/>
            <family val="2"/>
          </rPr>
          <t xml:space="preserve">
- LIHAT DI FORM ATMR KREDIT FORM I.B, 
  1.2 TAGIHAN KEPADA ENTITAS SEKTOR PUBLIK, LIHAT DI TAGIHAN BERSIHNYA, NILAINYA MASUKKAN SESUAI DENGAN BOBOT RESIKONYA SESUAIKAN DENGAN RATINGNYA
  2.2  TAGIHAN KEPADA ENTITAS SEKTOR PUBLIK LIHAT DI TAGIHAN BERSIHNYA, NILAINYA MASUKKAN SESUAI DENGAN BOBOT RESIKONYA SESUAIKAN DENGAN RATINGNYA
</t>
        </r>
      </text>
    </comment>
    <comment ref="O40" authorId="0">
      <text>
        <r>
          <rPr>
            <b/>
            <sz val="9"/>
            <color indexed="81"/>
            <rFont val="Tahoma"/>
            <family val="2"/>
          </rPr>
          <t xml:space="preserve">KPSMER OPR3:
-LIHAT DI FORM ATMR KREDIT I.B DIKOLOM E SESUAIKAN DENGAN BOBOT RISIKO NYA
</t>
        </r>
      </text>
    </comment>
    <comment ref="D41" authorId="1">
      <text>
        <r>
          <rPr>
            <b/>
            <sz val="9"/>
            <color indexed="81"/>
            <rFont val="Tahoma"/>
            <charset val="1"/>
          </rPr>
          <t>-E85+E105+</t>
        </r>
      </text>
    </comment>
    <comment ref="O48" authorId="0">
      <text>
        <r>
          <rPr>
            <b/>
            <sz val="9"/>
            <color indexed="81"/>
            <rFont val="Tahoma"/>
            <family val="2"/>
          </rPr>
          <t>KPSMER OPR03:</t>
        </r>
        <r>
          <rPr>
            <sz val="9"/>
            <color indexed="81"/>
            <rFont val="Tahoma"/>
            <family val="2"/>
          </rPr>
          <t xml:space="preserve">
-ATMR I.A  ASET LAINNYA (BRS 86) NILAINYA AMBIL DITAGIHAN BERSIH</t>
        </r>
      </text>
    </comment>
    <comment ref="P49" authorId="0">
      <text>
        <r>
          <rPr>
            <b/>
            <sz val="9"/>
            <color indexed="81"/>
            <rFont val="Tahoma"/>
            <family val="2"/>
          </rPr>
          <t>KPSMER OPR03:</t>
        </r>
        <r>
          <rPr>
            <sz val="9"/>
            <color indexed="81"/>
            <rFont val="Tahoma"/>
            <family val="2"/>
          </rPr>
          <t xml:space="preserve">
TOTAL NYA HARUS SAMA DENGAN FORM ATMR I.C (BRS 37+ BRS 60+ BRS 78)</t>
        </r>
      </text>
    </comment>
  </commentList>
</comments>
</file>

<file path=xl/comments5.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J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6.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J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7.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8.xml><?xml version="1.0" encoding="utf-8"?>
<comments xmlns="http://schemas.openxmlformats.org/spreadsheetml/2006/main">
  <authors>
    <author>KPSMER OPR03</author>
  </authors>
  <commentList>
    <comment ref="F14" authorId="0">
      <text>
        <r>
          <rPr>
            <b/>
            <sz val="9"/>
            <color indexed="81"/>
            <rFont val="Tahoma"/>
            <family val="2"/>
          </rPr>
          <t>KPSMER OPR03:</t>
        </r>
        <r>
          <rPr>
            <sz val="9"/>
            <color indexed="81"/>
            <rFont val="Tahoma"/>
            <family val="2"/>
          </rPr>
          <t xml:space="preserve">
-ATMR I.C TAGIHAN KEPADA PEMERINTAH (BRS 67)</t>
        </r>
      </text>
    </comment>
    <comment ref="J14" authorId="0">
      <text>
        <r>
          <rPr>
            <b/>
            <sz val="9"/>
            <color indexed="81"/>
            <rFont val="Tahoma"/>
            <family val="2"/>
          </rPr>
          <t>KPSMER OPR03:</t>
        </r>
        <r>
          <rPr>
            <sz val="9"/>
            <color indexed="81"/>
            <rFont val="Tahoma"/>
            <family val="2"/>
          </rPr>
          <t xml:space="preserve">
-ATMR I.C TAGIHAN KEPADA PEMERINTAH (BRS 67)</t>
        </r>
      </text>
    </comment>
    <comment ref="F21" authorId="0">
      <text>
        <r>
          <rPr>
            <b/>
            <sz val="9"/>
            <color indexed="81"/>
            <rFont val="Tahoma"/>
            <family val="2"/>
          </rPr>
          <t>KPSMER OPR03:</t>
        </r>
        <r>
          <rPr>
            <sz val="9"/>
            <color indexed="81"/>
            <rFont val="Tahoma"/>
            <family val="2"/>
          </rPr>
          <t xml:space="preserve">
TOTALNYA HARUS SAMA DENGAN TOTAL ATMR I.C (BRS 78)</t>
        </r>
      </text>
    </comment>
  </commentList>
</comments>
</file>

<file path=xl/comments9.xml><?xml version="1.0" encoding="utf-8"?>
<comments xmlns="http://schemas.openxmlformats.org/spreadsheetml/2006/main">
  <authors>
    <author>KPSMER OPR03</author>
  </authors>
  <commentList>
    <comment ref="E10" authorId="0">
      <text>
        <r>
          <rPr>
            <b/>
            <sz val="9"/>
            <color indexed="81"/>
            <rFont val="Tahoma"/>
            <family val="2"/>
          </rPr>
          <t>KPSMER OPR03:</t>
        </r>
        <r>
          <rPr>
            <sz val="9"/>
            <color indexed="81"/>
            <rFont val="Tahoma"/>
            <family val="2"/>
          </rPr>
          <t xml:space="preserve">
ATMR I.B NILAINYA SESUAIKAN DENGA BOBOT RISIKONYA</t>
        </r>
      </text>
    </comment>
    <comment ref="R10" authorId="0">
      <text>
        <r>
          <rPr>
            <b/>
            <sz val="9"/>
            <color indexed="81"/>
            <rFont val="Tahoma"/>
            <family val="2"/>
          </rPr>
          <t>KPSMER OPR03:</t>
        </r>
        <r>
          <rPr>
            <sz val="9"/>
            <color indexed="81"/>
            <rFont val="Tahoma"/>
            <family val="2"/>
          </rPr>
          <t xml:space="preserve">
ATMR I.B NILAINYA SESUAIKAN DENGA BOBOT RISIKONYA</t>
        </r>
      </text>
    </comment>
    <comment ref="P21" authorId="0">
      <text>
        <r>
          <rPr>
            <b/>
            <sz val="9"/>
            <color indexed="81"/>
            <rFont val="Tahoma"/>
            <family val="2"/>
          </rPr>
          <t>KPSMER OPR03:
TOTAL INI HARUS SAMA DENGAN TOTAL ATMR I.C ATMR SETELAH MRK BRS 37.</t>
        </r>
      </text>
    </comment>
    <comment ref="AC21" authorId="0">
      <text>
        <r>
          <rPr>
            <b/>
            <sz val="9"/>
            <color indexed="81"/>
            <rFont val="Tahoma"/>
            <family val="2"/>
          </rPr>
          <t>KPSMER OPR03:
TOTAL INI HARUS SAMA DENGAN TOTAL ATMR I.C ATMR SETELAH MRK BRS 37.</t>
        </r>
      </text>
    </comment>
    <comment ref="P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AC3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60</t>
        </r>
      </text>
    </comment>
    <comment ref="P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 ref="AC44" authorId="0">
      <text>
        <r>
          <rPr>
            <b/>
            <sz val="9"/>
            <color indexed="81"/>
            <rFont val="Tahoma"/>
            <family val="2"/>
          </rPr>
          <t>KPSMER OPR03:</t>
        </r>
        <r>
          <rPr>
            <sz val="9"/>
            <color indexed="81"/>
            <rFont val="Tahoma"/>
            <family val="2"/>
          </rPr>
          <t xml:space="preserve">
</t>
        </r>
        <r>
          <rPr>
            <b/>
            <sz val="9"/>
            <color indexed="81"/>
            <rFont val="Tahoma"/>
            <family val="2"/>
          </rPr>
          <t>TOTAL INI HARUS SAMA DENGAN TOTAL ATMR I.C ATMR SETELAH MRK BRS 78</t>
        </r>
      </text>
    </comment>
  </commentList>
</comments>
</file>

<file path=xl/sharedStrings.xml><?xml version="1.0" encoding="utf-8"?>
<sst xmlns="http://schemas.openxmlformats.org/spreadsheetml/2006/main" count="3974" uniqueCount="251">
  <si>
    <t>Tagihan Kepada Pemerintah</t>
  </si>
  <si>
    <t>Tagihan Kepada Entitas Sektor Publik</t>
  </si>
  <si>
    <t>Tagihan Kepada Bank Pembangunan Multilateral dan Lembaga Internasional</t>
  </si>
  <si>
    <t>Tagihan Kepada Bank</t>
  </si>
  <si>
    <t>Kredit Beragun Rumah Tinggal</t>
  </si>
  <si>
    <t>Kredit Beragun Properti Komersial</t>
  </si>
  <si>
    <t>Kredit Pegawai/Pensiunan</t>
  </si>
  <si>
    <t>Tagihan Kepada Usaha Mikro, Usaha Kecil dan Portofolio Ritel</t>
  </si>
  <si>
    <t>Tagihan Kepada Korporasi</t>
  </si>
  <si>
    <t>Tagihan Yang Telah Jatuh Tempo</t>
  </si>
  <si>
    <t>Aset Lainnya</t>
  </si>
  <si>
    <t>No</t>
  </si>
  <si>
    <t xml:space="preserve">9) </t>
  </si>
  <si>
    <t>Pengungkapan Tagihan Bersih Berdasarkan Bobot Risiko setelah Memperhitungkan Dampak Mitigasi Risiko Kredit</t>
  </si>
  <si>
    <t>a)</t>
  </si>
  <si>
    <t>Format Laporan</t>
  </si>
  <si>
    <t>Bank Secara Individu</t>
  </si>
  <si>
    <t>(1)</t>
  </si>
  <si>
    <t>No.</t>
  </si>
  <si>
    <t>Kategori Portofolio</t>
  </si>
  <si>
    <t>A</t>
  </si>
  <si>
    <t>Eksposur Neraca</t>
  </si>
  <si>
    <t>(2)</t>
  </si>
  <si>
    <t>30 Juni 2017</t>
  </si>
  <si>
    <t>Tagihan Bersih setelah Memperhitungkan Dampak Mitigasi Risiko Kredit</t>
  </si>
  <si>
    <t>Lainnya</t>
  </si>
  <si>
    <t>ATMR</t>
  </si>
  <si>
    <t>Beban Modal</t>
  </si>
  <si>
    <t>(3)</t>
  </si>
  <si>
    <t>(4)</t>
  </si>
  <si>
    <t>(5)</t>
  </si>
  <si>
    <t>(6)</t>
  </si>
  <si>
    <t>(7)</t>
  </si>
  <si>
    <t>(8)</t>
  </si>
  <si>
    <t>(9)</t>
  </si>
  <si>
    <t>(10)</t>
  </si>
  <si>
    <t>(11)</t>
  </si>
  <si>
    <t>(12)</t>
  </si>
  <si>
    <t>(13)</t>
  </si>
  <si>
    <t>(14)</t>
  </si>
  <si>
    <t>(15)</t>
  </si>
  <si>
    <t>(16)</t>
  </si>
  <si>
    <t>(17)</t>
  </si>
  <si>
    <t>(18)</t>
  </si>
  <si>
    <t>(19)</t>
  </si>
  <si>
    <t>(20)</t>
  </si>
  <si>
    <t>(21)</t>
  </si>
  <si>
    <t>(22)</t>
  </si>
  <si>
    <t>(23)</t>
  </si>
  <si>
    <t>(24)</t>
  </si>
  <si>
    <t>(25)</t>
  </si>
  <si>
    <t>Total Eksposur Neraca</t>
  </si>
  <si>
    <t>B</t>
  </si>
  <si>
    <t>Eksposur Kewajiban Komitmen/Kontijensi pd Transaksi Rekening Administratif</t>
  </si>
  <si>
    <t>C</t>
  </si>
  <si>
    <t>Eksposur Akibat Kegagalan Pihak Lawan (Counterparty Credit Risk)</t>
  </si>
  <si>
    <r>
      <t xml:space="preserve">Total Eksposur </t>
    </r>
    <r>
      <rPr>
        <b/>
        <i/>
        <sz val="8"/>
        <color theme="1"/>
        <rFont val="Calibri"/>
        <family val="2"/>
        <scheme val="minor"/>
      </rPr>
      <t>Counterparty Credit Risk</t>
    </r>
  </si>
  <si>
    <t>(dalam jutaan rupiah)</t>
  </si>
  <si>
    <t>30 Juni 2018</t>
  </si>
  <si>
    <t>Tagihan Bersih</t>
  </si>
  <si>
    <t>Bagian Yang Dijamin dengan</t>
  </si>
  <si>
    <t>Bagian Yang Tidak Dijamin</t>
  </si>
  <si>
    <t>Bagian Yang Dijamin Dengan</t>
  </si>
  <si>
    <t>Agunan</t>
  </si>
  <si>
    <t>Garansi</t>
  </si>
  <si>
    <t>Asuransi Kredit</t>
  </si>
  <si>
    <t>(8)=(3)-{(4)+(5)+(6)+(7)}</t>
  </si>
  <si>
    <t>(14)=(9)-{(10)+(11)+(12)+(13)}</t>
  </si>
  <si>
    <t xml:space="preserve">Tagihan Kepada Bank </t>
  </si>
  <si>
    <t>Kredit Pegawai/Pensiun</t>
  </si>
  <si>
    <t>Tagihan Kepada Usaha Mikro, Usaha Kecil, dan Portfolio Ritel</t>
  </si>
  <si>
    <t>Eksposur Rekening Administratif</t>
  </si>
  <si>
    <t>Total Eksposur Rekening Administratif</t>
  </si>
  <si>
    <t>Eksposur Counterparty Credit Risk</t>
  </si>
  <si>
    <t xml:space="preserve">Kredit Beragun Properti </t>
  </si>
  <si>
    <t>Total (A+B+C)</t>
  </si>
  <si>
    <t>-</t>
  </si>
  <si>
    <t>1.</t>
  </si>
  <si>
    <t>ATMR Sebelum MRK</t>
  </si>
  <si>
    <t>ATMR Setelah MRK</t>
  </si>
  <si>
    <t>a.</t>
  </si>
  <si>
    <t>b.</t>
  </si>
  <si>
    <t>2.</t>
  </si>
  <si>
    <t>3.</t>
  </si>
  <si>
    <t>4.</t>
  </si>
  <si>
    <t>5.</t>
  </si>
  <si>
    <t>6.</t>
  </si>
  <si>
    <t>7.</t>
  </si>
  <si>
    <t>8.</t>
  </si>
  <si>
    <t>9.</t>
  </si>
  <si>
    <t>10.</t>
  </si>
  <si>
    <t>11.</t>
  </si>
  <si>
    <t>1)</t>
  </si>
  <si>
    <t>c.</t>
  </si>
  <si>
    <t>d.</t>
  </si>
  <si>
    <t>e.</t>
  </si>
  <si>
    <t>f.</t>
  </si>
  <si>
    <t>TOTAL</t>
  </si>
  <si>
    <t>Tagihan kepada Bank Pembangunan Multilateral dan Lembaga Internasional</t>
  </si>
  <si>
    <t>Tagihan kepada Bank</t>
  </si>
  <si>
    <t xml:space="preserve">Eksposur Aset pada Neraca </t>
  </si>
  <si>
    <t xml:space="preserve">Eksposur Kewajiban Komitmen/Kontinjensi pada Transaksi  Rekening Administratif </t>
  </si>
  <si>
    <r>
      <t xml:space="preserve">Eksposur tertimbang dari Credit Valuation Adjustment (CVA </t>
    </r>
    <r>
      <rPr>
        <i/>
        <sz val="8"/>
        <rFont val="Calibri"/>
        <family val="2"/>
      </rPr>
      <t>risk weighted assets</t>
    </r>
    <r>
      <rPr>
        <sz val="8"/>
        <rFont val="Calibri"/>
        <family val="2"/>
      </rPr>
      <t>)</t>
    </r>
  </si>
  <si>
    <r>
      <t xml:space="preserve">Eksposur yang Menimbulkan Risiko Kredit akibat kegagalan Pihak Lawan </t>
    </r>
    <r>
      <rPr>
        <b/>
        <i/>
        <sz val="8"/>
        <rFont val="Calibri"/>
        <family val="2"/>
      </rPr>
      <t>(Counterparty Credit Risk)</t>
    </r>
    <r>
      <rPr>
        <b/>
        <sz val="8"/>
        <rFont val="Calibri"/>
        <family val="2"/>
      </rPr>
      <t xml:space="preserve"> </t>
    </r>
  </si>
  <si>
    <t>Jenis Transaksi</t>
  </si>
  <si>
    <t>Nilai Eksposur</t>
  </si>
  <si>
    <t>Faktor Pengurang Modal</t>
  </si>
  <si>
    <t>Delivery versus payment</t>
  </si>
  <si>
    <t>Beban Modal 8% (5-15 hari)</t>
  </si>
  <si>
    <t>Beban Modal 50% (16-30 hari)</t>
  </si>
  <si>
    <t>Beban Modal 75% (31-45 hari)</t>
  </si>
  <si>
    <t>Beban Modal 100% (lebih dari 45 hari)</t>
  </si>
  <si>
    <t>Non-delivery versus payment</t>
  </si>
  <si>
    <r>
      <t xml:space="preserve">Eksposur yang Menimbulkan Risiko Kredit akibat Kegagalan Setelmen </t>
    </r>
    <r>
      <rPr>
        <b/>
        <i/>
        <sz val="8"/>
        <rFont val="Calibri"/>
        <family val="2"/>
      </rPr>
      <t xml:space="preserve">(settlement risk) </t>
    </r>
  </si>
  <si>
    <t>Eksposur Sekuritisasi sebagaimana dimaksud pada butir II.E.11.c dalam Surat Edaran Otoritas Jasa Keuangana ini</t>
  </si>
  <si>
    <t>Fasilitas Kredit Pendukung yang memenuhi persyaratan</t>
  </si>
  <si>
    <t>Fasilitas Kredit Pendukung yang tidak memenuhi persyaratan</t>
  </si>
  <si>
    <t>Fasilitas Likuiditas yang memenuhi persyaratan</t>
  </si>
  <si>
    <t>Fasilitas Likuiditas yang tidak memenuhi persyaratan</t>
  </si>
  <si>
    <t>Pembelian Efek Beragun Aset yang memenuhi persyaratan</t>
  </si>
  <si>
    <t>Pembelian Efek Beragun Aset yang tidak memenuhi persyaratan</t>
  </si>
  <si>
    <t>Eksposur Sekuritisasi yang tidak tercakup dalam ketentuan Bank Indonesia mengenai prinsip-prinsip kehati-hatian dalam aktivitas sekuritisasi aset bagi bank umum.</t>
  </si>
  <si>
    <t>Total Pengukuran Risiko Kredit</t>
  </si>
  <si>
    <t>TOTAL ATMR RISIKO KREDIT</t>
  </si>
  <si>
    <t>TOTAL FAKTOR PENGURANG MODAL</t>
  </si>
  <si>
    <t>Bank Secara Konsolidasi dengan Entitas Anak</t>
  </si>
  <si>
    <t>10)</t>
  </si>
  <si>
    <t>Pengungkapan Tagihan Bersih dan Teknik Mitigasi Risiko Kredit</t>
  </si>
  <si>
    <t>13)</t>
  </si>
  <si>
    <t xml:space="preserve">Pengungkapan Perhitungan ATMR untuk Risiko Kredit dengan Menggunakan Pendekatan Standar </t>
  </si>
  <si>
    <t xml:space="preserve">Eksposur Aset di Neraca </t>
  </si>
  <si>
    <t>Pengungkapan Risiko Pasar dengan Menggunakan Metode Standar</t>
  </si>
  <si>
    <t>Jenis Risiko</t>
  </si>
  <si>
    <t>Individual</t>
  </si>
  <si>
    <t>Konsolidasian</t>
  </si>
  <si>
    <t>Risiko Suku Bunga</t>
  </si>
  <si>
    <t>a. Risiko Spesifik</t>
  </si>
  <si>
    <t>b. Risiko Umum</t>
  </si>
  <si>
    <t>Risiko Nilai Tukar</t>
  </si>
  <si>
    <t>Risiko Ekuitas*)</t>
  </si>
  <si>
    <t>Risiko Komoditas</t>
  </si>
  <si>
    <t>Risiko Option</t>
  </si>
  <si>
    <t>Pendekatan Yang Digunakan</t>
  </si>
  <si>
    <t>Pendekatan Indikator Dasar</t>
  </si>
  <si>
    <t xml:space="preserve"> (Rata-rata 3 Tahun Terakhir)</t>
  </si>
  <si>
    <t>Pendapatan Bruto</t>
  </si>
  <si>
    <t>8)</t>
  </si>
  <si>
    <r>
      <t>Pengungkapan Risiko Kredit Pihak Lawan (</t>
    </r>
    <r>
      <rPr>
        <i/>
        <sz val="11"/>
        <color theme="1"/>
        <rFont val="Calibri"/>
        <family val="2"/>
        <scheme val="minor"/>
      </rPr>
      <t>Counterparty Credit Risk)</t>
    </r>
  </si>
  <si>
    <t>Bank secara Individu</t>
  </si>
  <si>
    <t>(a)</t>
  </si>
  <si>
    <r>
      <t xml:space="preserve">Transaksi Derivatif </t>
    </r>
    <r>
      <rPr>
        <i/>
        <sz val="11"/>
        <color theme="1"/>
        <rFont val="Calibri"/>
        <family val="2"/>
        <scheme val="minor"/>
      </rPr>
      <t>Over the Counter</t>
    </r>
  </si>
  <si>
    <t>(b)</t>
  </si>
  <si>
    <t>Transaksi Repo</t>
  </si>
  <si>
    <t>( c  )</t>
  </si>
  <si>
    <r>
      <t xml:space="preserve">Transaksi </t>
    </r>
    <r>
      <rPr>
        <i/>
        <sz val="11"/>
        <color theme="1"/>
        <rFont val="Calibri"/>
        <family val="2"/>
        <scheme val="minor"/>
      </rPr>
      <t>Reverse Repo</t>
    </r>
  </si>
  <si>
    <t>NIHIL</t>
  </si>
  <si>
    <t>Nilai MRK</t>
  </si>
  <si>
    <t>Tagihan Bersih setelah MRK</t>
  </si>
  <si>
    <t>ATMR setelah MRK</t>
  </si>
  <si>
    <t>11)</t>
  </si>
  <si>
    <t>Pengungkapan Transaksi Sekuritisasi Aset</t>
  </si>
  <si>
    <t>12)</t>
  </si>
  <si>
    <t>Pengungkapan Ringkasan Aktivitas Transaksi Sekutirisasi Aset dalam Hal Bank Bertidak sebagai Kreditur Asal</t>
  </si>
  <si>
    <t>2)</t>
  </si>
  <si>
    <t>Lembaga Pemeringkat</t>
  </si>
  <si>
    <t>Fitch Rating</t>
  </si>
  <si>
    <t>AAA</t>
  </si>
  <si>
    <t>Standard and Poor's</t>
  </si>
  <si>
    <t>AA+ s.d AA-</t>
  </si>
  <si>
    <t>A+ s.d A-</t>
  </si>
  <si>
    <t>BBB+ s.d BBB-</t>
  </si>
  <si>
    <t>BB+ s.d BB-</t>
  </si>
  <si>
    <t>B+ s.d B-</t>
  </si>
  <si>
    <t>Kurang dari B-</t>
  </si>
  <si>
    <t>A-1</t>
  </si>
  <si>
    <t>A-2</t>
  </si>
  <si>
    <t>A-3</t>
  </si>
  <si>
    <t>Kurang dari A-3</t>
  </si>
  <si>
    <t>F1+ s.d F1</t>
  </si>
  <si>
    <t>F2</t>
  </si>
  <si>
    <t>F3</t>
  </si>
  <si>
    <t>Kurang dari F3</t>
  </si>
  <si>
    <t>Moody's</t>
  </si>
  <si>
    <t>Aaa</t>
  </si>
  <si>
    <t>Aa1 s.d Aa3</t>
  </si>
  <si>
    <t>A1 s.d A3</t>
  </si>
  <si>
    <t>Baa1 s.d Baa3</t>
  </si>
  <si>
    <t>Ba1 s.d Ba3</t>
  </si>
  <si>
    <t>B1 s.d B3</t>
  </si>
  <si>
    <t>Kurang dari B3</t>
  </si>
  <si>
    <t>P-1</t>
  </si>
  <si>
    <t>P-2</t>
  </si>
  <si>
    <t>P-3</t>
  </si>
  <si>
    <t>Kurang dari P-3</t>
  </si>
  <si>
    <t>PT. Fitch Ratings Indonesia</t>
  </si>
  <si>
    <t>AAA (idn)</t>
  </si>
  <si>
    <t>AA+(idn) s.d AA-(idn)</t>
  </si>
  <si>
    <t>A+(idn) s.d. A-(idn)</t>
  </si>
  <si>
    <t>BBB+(idn) s.d BBB-(idn)</t>
  </si>
  <si>
    <t>BB+(idn) s.d BB-(idn)</t>
  </si>
  <si>
    <t>B+(idn) s.d B-(idn)</t>
  </si>
  <si>
    <t>Kurang dari B-(idn)</t>
  </si>
  <si>
    <t>F1+(idn) s.d F1(idn)</t>
  </si>
  <si>
    <t>F2(idn)</t>
  </si>
  <si>
    <t>F3(idn)</t>
  </si>
  <si>
    <t>Kurang dari F3(idn)</t>
  </si>
  <si>
    <t>PT ICRA Indonesia</t>
  </si>
  <si>
    <t>[Idr]AAA</t>
  </si>
  <si>
    <t>[Idr]AA+ s.d [Idr]AA-</t>
  </si>
  <si>
    <t>[Idr]A+ s.d [Idr]A-</t>
  </si>
  <si>
    <t>[Idr]BBB+ s.d [Idr]BBB-</t>
  </si>
  <si>
    <t>[Idr]BB+ s.d [Idr]BB-</t>
  </si>
  <si>
    <t>[Idr]B+ s.d [Idr]B-</t>
  </si>
  <si>
    <t>Kurang dari [Idr]B-</t>
  </si>
  <si>
    <t>[Idr]A1+ s.d [Idr]A1</t>
  </si>
  <si>
    <t>[Idr]A2+ s.d [Idr]A2</t>
  </si>
  <si>
    <t>[Idr]A3+ s.d [Idr] A3</t>
  </si>
  <si>
    <t>Kurang dari [Idr]A3</t>
  </si>
  <si>
    <t>PT Pemeringkat Efek Indonesia</t>
  </si>
  <si>
    <t>idAAA</t>
  </si>
  <si>
    <t>idAA+ s.d idAA-</t>
  </si>
  <si>
    <t>idA+ s.d id A-</t>
  </si>
  <si>
    <t>id BBB+ s.d id BBB-</t>
  </si>
  <si>
    <t>id BB+ s.d id BB-</t>
  </si>
  <si>
    <t>id B+ s.d id B-</t>
  </si>
  <si>
    <t>Kurang dari idB-</t>
  </si>
  <si>
    <t>idA1</t>
  </si>
  <si>
    <t>idA2</t>
  </si>
  <si>
    <t>idA3 s.d id A4</t>
  </si>
  <si>
    <t>Kurang dari idA4</t>
  </si>
  <si>
    <t>Tanpa Peringkat</t>
  </si>
  <si>
    <t>Total</t>
  </si>
  <si>
    <t>Jangka Pendek</t>
  </si>
  <si>
    <t>Jangka Panjang</t>
  </si>
  <si>
    <t>7) Pengungkapan Tagihan Bersih Berdasarkan Kategori Portofolio dan Skala Peringkat</t>
  </si>
  <si>
    <t>(1) Bank secara individu</t>
  </si>
  <si>
    <t>(2) Bank secara konsolidasi dengan Entitas Anak</t>
  </si>
  <si>
    <t xml:space="preserve">      -</t>
  </si>
  <si>
    <t>Bank secaraKonsolidasi dengan Entitas Anak</t>
  </si>
  <si>
    <t>dalam jutaan rupiah</t>
  </si>
  <si>
    <t>1) Risiko Operasional - Bank secara individu</t>
  </si>
  <si>
    <t xml:space="preserve">       -</t>
  </si>
  <si>
    <r>
      <t xml:space="preserve">Pengungkapan Eksposur </t>
    </r>
    <r>
      <rPr>
        <i/>
        <sz val="11"/>
        <color theme="1"/>
        <rFont val="Calibri"/>
        <family val="2"/>
        <scheme val="minor"/>
      </rPr>
      <t>Interest Rate Risk in Banking Book (IRRBB)</t>
    </r>
  </si>
  <si>
    <t>30 Juni 2019</t>
  </si>
  <si>
    <t>PT Pemeringkat Efek Indonesia/PEFINDO</t>
  </si>
  <si>
    <t>30 Juni 2020</t>
  </si>
  <si>
    <t>selisih</t>
  </si>
  <si>
    <t>30 September 2020</t>
  </si>
  <si>
    <t>30 Desember 2020</t>
  </si>
  <si>
    <t>31 Desember 2020</t>
  </si>
  <si>
    <t>31 DESEMBER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</si>
</sst>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quot;Rp&quot;#,##0_);\(&quot;Rp&quot;#,##0\)"/>
    <numFmt numFmtId="165" formatCode="_(* #,##0_);_(* \(#,##0\);_(* &quot;-&quot;_);_(@_)"/>
    <numFmt numFmtId="166" formatCode="_(* #,##0.00_);_(* \(#,##0.00\);_(* &quot;-&quot;??_);_(@_)"/>
    <numFmt numFmtId="167" formatCode="_(* #,##0_);_(* \(#,##0\);_(* &quot;-&quot;??_);_(@_)"/>
    <numFmt numFmtId="168" formatCode="[$-1010421]#,##0;\-#,##0"/>
    <numFmt numFmtId="169"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5"/>
      <color theme="1"/>
      <name val="Calibri"/>
      <family val="2"/>
      <scheme val="minor"/>
    </font>
    <font>
      <b/>
      <sz val="8"/>
      <color theme="1"/>
      <name val="Calibri"/>
      <family val="2"/>
      <scheme val="minor"/>
    </font>
    <font>
      <b/>
      <i/>
      <sz val="8"/>
      <color theme="1"/>
      <name val="Calibri"/>
      <family val="2"/>
      <scheme val="minor"/>
    </font>
    <font>
      <sz val="10"/>
      <name val="Arial"/>
      <family val="2"/>
    </font>
    <font>
      <b/>
      <sz val="8"/>
      <name val="Calibri"/>
      <family val="2"/>
    </font>
    <font>
      <sz val="8"/>
      <name val="Calibri"/>
      <family val="2"/>
    </font>
    <font>
      <sz val="5"/>
      <name val="Calibri"/>
      <family val="2"/>
    </font>
    <font>
      <b/>
      <sz val="5"/>
      <name val="Calibri"/>
      <family val="2"/>
    </font>
    <font>
      <b/>
      <i/>
      <sz val="8"/>
      <name val="Calibri"/>
      <family val="2"/>
    </font>
    <font>
      <i/>
      <sz val="8"/>
      <name val="Calibri"/>
      <family val="2"/>
    </font>
    <font>
      <sz val="12"/>
      <name val="Times New Roman"/>
      <family val="1"/>
    </font>
    <font>
      <sz val="11"/>
      <color theme="1"/>
      <name val="Arial"/>
      <family val="2"/>
      <charset val="1"/>
    </font>
    <font>
      <i/>
      <sz val="11"/>
      <color theme="1"/>
      <name val="Calibri"/>
      <family val="2"/>
      <scheme val="minor"/>
    </font>
    <font>
      <sz val="8"/>
      <color theme="0"/>
      <name val="Calibri"/>
      <family val="2"/>
      <scheme val="minor"/>
    </font>
    <font>
      <sz val="8"/>
      <color rgb="FFFF0000"/>
      <name val="Calibri"/>
      <family val="2"/>
      <scheme val="minor"/>
    </font>
    <font>
      <sz val="8"/>
      <name val="Calibri"/>
      <family val="2"/>
      <scheme val="minor"/>
    </font>
    <font>
      <sz val="8"/>
      <name val="Tahoma"/>
      <family val="2"/>
    </font>
    <font>
      <sz val="9"/>
      <color indexed="81"/>
      <name val="Tahoma"/>
      <family val="2"/>
    </font>
    <font>
      <b/>
      <sz val="9"/>
      <color indexed="81"/>
      <name val="Tahoma"/>
      <family val="2"/>
    </font>
    <font>
      <b/>
      <sz val="9"/>
      <color indexed="81"/>
      <name val="Tahoma"/>
      <charset val="1"/>
    </font>
    <font>
      <sz val="9"/>
      <color indexed="81"/>
      <name val="Tahoma"/>
      <charset val="1"/>
    </font>
  </fonts>
  <fills count="11">
    <fill>
      <patternFill patternType="none"/>
    </fill>
    <fill>
      <patternFill patternType="gray125"/>
    </fill>
    <fill>
      <patternFill patternType="solid">
        <fgColor theme="0" tint="-0.34998626667073579"/>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lightUp"/>
    </fill>
    <fill>
      <patternFill patternType="solid">
        <fgColor indexed="47"/>
        <bgColor indexed="64"/>
      </patternFill>
    </fill>
    <fill>
      <patternFill patternType="solid">
        <fgColor theme="0" tint="-0.249977111117893"/>
        <bgColor indexed="64"/>
      </patternFill>
    </fill>
    <fill>
      <patternFill patternType="solid">
        <fgColor indexed="65"/>
        <bgColor indexed="64"/>
      </patternFill>
    </fill>
    <fill>
      <patternFill patternType="solid">
        <fgColor rgb="FF92D05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23"/>
      </left>
      <right style="medium">
        <color indexed="23"/>
      </right>
      <top style="medium">
        <color indexed="23"/>
      </top>
      <bottom style="medium">
        <color indexed="23"/>
      </bottom>
      <diagonal/>
    </border>
  </borders>
  <cellStyleXfs count="17">
    <xf numFmtId="0" fontId="0" fillId="0" borderId="0"/>
    <xf numFmtId="166" fontId="1" fillId="0" borderId="0" applyFont="0" applyFill="0" applyBorder="0" applyAlignment="0" applyProtection="0"/>
    <xf numFmtId="165" fontId="1" fillId="0" borderId="0" applyFont="0" applyFill="0" applyBorder="0" applyAlignment="0" applyProtection="0"/>
    <xf numFmtId="3" fontId="7" fillId="4" borderId="1" applyFont="0">
      <alignment horizontal="right"/>
      <protection locked="0"/>
    </xf>
    <xf numFmtId="0" fontId="7" fillId="7" borderId="19" applyNumberFormat="0" applyFont="0" applyBorder="0" applyAlignment="0" applyProtection="0">
      <alignment horizontal="left"/>
    </xf>
    <xf numFmtId="3" fontId="7" fillId="7" borderId="1" applyFont="0" applyProtection="0">
      <alignment horizontal="right"/>
    </xf>
    <xf numFmtId="3" fontId="7" fillId="3" borderId="1" applyFont="0">
      <alignment horizontal="right"/>
    </xf>
    <xf numFmtId="0" fontId="14" fillId="0" borderId="0"/>
    <xf numFmtId="166"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4" fontId="15" fillId="0" borderId="0" applyFont="0" applyFill="0" applyBorder="0" applyAlignment="0" applyProtection="0"/>
    <xf numFmtId="0" fontId="7" fillId="0" borderId="0"/>
    <xf numFmtId="0" fontId="15" fillId="0" borderId="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cellStyleXfs>
  <cellXfs count="375">
    <xf numFmtId="0" fontId="0" fillId="0" borderId="0" xfId="0"/>
    <xf numFmtId="0" fontId="0" fillId="0" borderId="1" xfId="0" applyBorder="1"/>
    <xf numFmtId="0" fontId="0" fillId="0" borderId="0" xfId="0" applyAlignment="1">
      <alignment horizontal="center"/>
    </xf>
    <xf numFmtId="0" fontId="3" fillId="0" borderId="0" xfId="0" quotePrefix="1" applyFont="1" applyAlignment="1">
      <alignment horizontal="center"/>
    </xf>
    <xf numFmtId="0" fontId="0" fillId="0" borderId="1" xfId="0" applyBorder="1" applyAlignment="1">
      <alignment horizontal="center"/>
    </xf>
    <xf numFmtId="167" fontId="0" fillId="0" borderId="1" xfId="0" applyNumberFormat="1" applyBorder="1"/>
    <xf numFmtId="0" fontId="3" fillId="0" borderId="0" xfId="0" applyFont="1"/>
    <xf numFmtId="0" fontId="4" fillId="0" borderId="1" xfId="0" quotePrefix="1" applyFont="1" applyBorder="1" applyAlignment="1">
      <alignment horizontal="center" vertical="center"/>
    </xf>
    <xf numFmtId="0" fontId="3" fillId="0" borderId="0" xfId="0" quotePrefix="1" applyFont="1"/>
    <xf numFmtId="0" fontId="5" fillId="0" borderId="0" xfId="0" applyFont="1"/>
    <xf numFmtId="0" fontId="5" fillId="0" borderId="1" xfId="0" applyFont="1" applyBorder="1" applyAlignment="1">
      <alignment horizontal="center"/>
    </xf>
    <xf numFmtId="0" fontId="3" fillId="0" borderId="0" xfId="0" applyFont="1" applyAlignment="1">
      <alignment vertical="center"/>
    </xf>
    <xf numFmtId="0" fontId="3" fillId="0" borderId="1" xfId="0" quotePrefix="1" applyFont="1" applyBorder="1" applyAlignment="1">
      <alignment horizontal="center" vertical="center"/>
    </xf>
    <xf numFmtId="0" fontId="6" fillId="0" borderId="0" xfId="0" applyFont="1"/>
    <xf numFmtId="0" fontId="6" fillId="0" borderId="1" xfId="0" applyFont="1" applyBorder="1" applyAlignment="1">
      <alignment horizontal="center"/>
    </xf>
    <xf numFmtId="0" fontId="6" fillId="0" borderId="1" xfId="0" applyFont="1" applyBorder="1"/>
    <xf numFmtId="0" fontId="3" fillId="0" borderId="1" xfId="0" applyFont="1" applyBorder="1"/>
    <xf numFmtId="167" fontId="3" fillId="0" borderId="1" xfId="0" applyNumberFormat="1" applyFont="1" applyBorder="1"/>
    <xf numFmtId="0" fontId="5" fillId="0" borderId="1" xfId="0" applyFont="1" applyBorder="1" applyAlignment="1">
      <alignment horizontal="right"/>
    </xf>
    <xf numFmtId="0" fontId="3" fillId="0" borderId="0" xfId="0" applyFont="1" applyAlignment="1">
      <alignment horizontal="right"/>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167" fontId="3" fillId="0" borderId="1" xfId="1" applyNumberFormat="1" applyFont="1" applyBorder="1"/>
    <xf numFmtId="167" fontId="6" fillId="0" borderId="1" xfId="1" applyNumberFormat="1" applyFont="1" applyBorder="1"/>
    <xf numFmtId="167" fontId="5" fillId="0" borderId="1" xfId="1" applyNumberFormat="1" applyFont="1" applyBorder="1"/>
    <xf numFmtId="166" fontId="3" fillId="0" borderId="1" xfId="1" applyNumberFormat="1" applyFont="1" applyBorder="1"/>
    <xf numFmtId="0" fontId="5" fillId="2" borderId="16" xfId="0" applyFont="1" applyFill="1" applyBorder="1" applyAlignment="1">
      <alignment horizontal="center"/>
    </xf>
    <xf numFmtId="0" fontId="3" fillId="0" borderId="6" xfId="0" applyFont="1" applyBorder="1" applyAlignment="1">
      <alignment horizontal="center" vertical="center"/>
    </xf>
    <xf numFmtId="0" fontId="6" fillId="0" borderId="6" xfId="0" applyFont="1" applyBorder="1"/>
    <xf numFmtId="0" fontId="3" fillId="0" borderId="6" xfId="0" applyFont="1" applyBorder="1"/>
    <xf numFmtId="0" fontId="3" fillId="0" borderId="13" xfId="0" applyFont="1" applyBorder="1"/>
    <xf numFmtId="0" fontId="3" fillId="0" borderId="11" xfId="0" applyFont="1" applyBorder="1" applyAlignment="1">
      <alignment horizontal="center"/>
    </xf>
    <xf numFmtId="0" fontId="3" fillId="0" borderId="11" xfId="0" applyFont="1" applyBorder="1"/>
    <xf numFmtId="0" fontId="5" fillId="0" borderId="11" xfId="0" applyFont="1" applyBorder="1" applyAlignment="1">
      <alignment horizontal="right"/>
    </xf>
    <xf numFmtId="0" fontId="5" fillId="0" borderId="11" xfId="0" applyFont="1" applyBorder="1" applyAlignment="1">
      <alignment horizontal="center"/>
    </xf>
    <xf numFmtId="0" fontId="6" fillId="0" borderId="11" xfId="0" applyFont="1" applyBorder="1"/>
    <xf numFmtId="0" fontId="5" fillId="0" borderId="14" xfId="0" applyFont="1" applyBorder="1" applyAlignment="1">
      <alignment horizontal="right"/>
    </xf>
    <xf numFmtId="3" fontId="0" fillId="0" borderId="0" xfId="0" applyNumberFormat="1"/>
    <xf numFmtId="0" fontId="4" fillId="0" borderId="0" xfId="0" applyFont="1"/>
    <xf numFmtId="0" fontId="4" fillId="0" borderId="16" xfId="0" quotePrefix="1" applyFont="1" applyBorder="1" applyAlignment="1">
      <alignment horizontal="center" vertical="center"/>
    </xf>
    <xf numFmtId="0" fontId="4" fillId="0" borderId="16" xfId="0" quotePrefix="1" applyFont="1" applyBorder="1" applyAlignment="1">
      <alignment horizontal="center" vertical="center" wrapText="1"/>
    </xf>
    <xf numFmtId="0" fontId="4" fillId="0" borderId="0" xfId="0" applyFont="1" applyAlignment="1">
      <alignment horizontal="center" vertical="center"/>
    </xf>
    <xf numFmtId="167" fontId="3" fillId="0" borderId="11" xfId="1" applyNumberFormat="1" applyFont="1" applyBorder="1"/>
    <xf numFmtId="167" fontId="5" fillId="0" borderId="11" xfId="1" applyNumberFormat="1" applyFont="1" applyBorder="1"/>
    <xf numFmtId="0" fontId="5" fillId="0" borderId="14" xfId="0" applyFont="1" applyBorder="1" applyAlignment="1">
      <alignment horizontal="center"/>
    </xf>
    <xf numFmtId="167" fontId="5" fillId="0" borderId="14" xfId="1" applyNumberFormat="1" applyFont="1" applyBorder="1"/>
    <xf numFmtId="167" fontId="5" fillId="0" borderId="16" xfId="0" applyNumberFormat="1" applyFont="1" applyBorder="1"/>
    <xf numFmtId="0" fontId="5" fillId="0" borderId="5" xfId="0" applyFont="1" applyBorder="1" applyAlignment="1"/>
    <xf numFmtId="167" fontId="3" fillId="0" borderId="18" xfId="1" applyNumberFormat="1" applyFont="1" applyBorder="1"/>
    <xf numFmtId="167" fontId="5" fillId="0" borderId="16" xfId="1" applyNumberFormat="1" applyFont="1" applyBorder="1"/>
    <xf numFmtId="0" fontId="2" fillId="0" borderId="0" xfId="0" applyFont="1"/>
    <xf numFmtId="0" fontId="8" fillId="0" borderId="0" xfId="0" applyFont="1" applyBorder="1" applyAlignment="1">
      <alignment vertical="top"/>
    </xf>
    <xf numFmtId="0" fontId="8" fillId="0" borderId="0" xfId="0" applyFont="1" applyBorder="1" applyAlignment="1">
      <alignment vertical="center"/>
    </xf>
    <xf numFmtId="0" fontId="8" fillId="0" borderId="0" xfId="0" applyFont="1" applyBorder="1" applyAlignment="1">
      <alignment horizontal="center" vertical="center"/>
    </xf>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vertical="center"/>
    </xf>
    <xf numFmtId="3" fontId="9" fillId="0" borderId="21" xfId="0" applyNumberFormat="1" applyFont="1" applyFill="1" applyBorder="1" applyAlignment="1" applyProtection="1">
      <alignment horizontal="center" vertical="center"/>
    </xf>
    <xf numFmtId="0" fontId="9" fillId="0" borderId="0" xfId="0" applyFont="1" applyFill="1" applyBorder="1" applyAlignment="1" applyProtection="1">
      <alignment vertical="center"/>
    </xf>
    <xf numFmtId="3" fontId="9" fillId="0" borderId="21" xfId="3" applyNumberFormat="1" applyFont="1" applyFill="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xf>
    <xf numFmtId="3" fontId="9" fillId="5" borderId="21" xfId="3" applyNumberFormat="1" applyFont="1" applyFill="1" applyBorder="1" applyAlignment="1" applyProtection="1">
      <alignment horizontal="center" vertical="center"/>
      <protection locked="0"/>
    </xf>
    <xf numFmtId="0" fontId="9" fillId="3" borderId="1" xfId="0" applyFont="1" applyFill="1" applyBorder="1" applyAlignment="1" applyProtection="1">
      <alignment vertical="center"/>
    </xf>
    <xf numFmtId="3" fontId="9" fillId="5" borderId="1" xfId="3" applyNumberFormat="1" applyFont="1" applyFill="1" applyBorder="1" applyAlignment="1" applyProtection="1">
      <alignment horizontal="center" vertical="center"/>
      <protection locked="0"/>
    </xf>
    <xf numFmtId="167" fontId="3" fillId="0" borderId="0" xfId="1" applyNumberFormat="1" applyFont="1"/>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3" fontId="9" fillId="0" borderId="21" xfId="0" applyNumberFormat="1" applyFont="1" applyFill="1" applyBorder="1" applyAlignment="1" applyProtection="1">
      <alignment horizontal="right" vertical="center"/>
    </xf>
    <xf numFmtId="3" fontId="9" fillId="0" borderId="21" xfId="3" applyNumberFormat="1" applyFont="1" applyFill="1" applyBorder="1" applyAlignment="1" applyProtection="1">
      <alignment horizontal="right" vertical="center"/>
      <protection locked="0"/>
    </xf>
    <xf numFmtId="3" fontId="9" fillId="0" borderId="1" xfId="3" applyNumberFormat="1" applyFont="1" applyFill="1" applyBorder="1" applyAlignment="1" applyProtection="1">
      <alignment horizontal="right" vertical="center"/>
      <protection locked="0"/>
    </xf>
    <xf numFmtId="0" fontId="10" fillId="3" borderId="0" xfId="0" applyFont="1" applyFill="1" applyBorder="1" applyAlignment="1" applyProtection="1">
      <alignment vertical="center"/>
    </xf>
    <xf numFmtId="0" fontId="10" fillId="3" borderId="1" xfId="0" quotePrefix="1" applyFont="1" applyFill="1" applyBorder="1" applyAlignment="1" applyProtection="1">
      <alignment horizontal="center" vertical="center"/>
    </xf>
    <xf numFmtId="0" fontId="10" fillId="0" borderId="21" xfId="0" quotePrefix="1" applyFont="1" applyFill="1" applyBorder="1" applyAlignment="1" applyProtection="1">
      <alignment horizontal="center" vertical="center"/>
    </xf>
    <xf numFmtId="0" fontId="8" fillId="0" borderId="0" xfId="0" applyFont="1" applyBorder="1" applyAlignment="1">
      <alignment horizontal="left" vertical="center"/>
    </xf>
    <xf numFmtId="0" fontId="8" fillId="0" borderId="21" xfId="0" quotePrefix="1" applyFont="1" applyFill="1" applyBorder="1" applyAlignment="1" applyProtection="1">
      <alignment horizontal="center" vertical="center"/>
    </xf>
    <xf numFmtId="3" fontId="8" fillId="0" borderId="21" xfId="0" applyNumberFormat="1" applyFont="1" applyFill="1" applyBorder="1" applyAlignment="1" applyProtection="1">
      <alignment horizontal="center" vertical="center"/>
    </xf>
    <xf numFmtId="3" fontId="9" fillId="0" borderId="1" xfId="0" applyNumberFormat="1" applyFont="1" applyFill="1" applyBorder="1" applyAlignment="1">
      <alignment horizontal="center" vertical="center"/>
    </xf>
    <xf numFmtId="3" fontId="9" fillId="0" borderId="1" xfId="3" applyFont="1" applyFill="1" applyBorder="1" applyAlignment="1" applyProtection="1">
      <alignment horizontal="center" vertical="center"/>
      <protection locked="0"/>
    </xf>
    <xf numFmtId="0" fontId="9" fillId="0" borderId="0" xfId="0" applyFont="1" applyBorder="1" applyAlignment="1">
      <alignment vertical="center"/>
    </xf>
    <xf numFmtId="0" fontId="9" fillId="3" borderId="20" xfId="0" applyFont="1" applyFill="1" applyBorder="1" applyAlignment="1" applyProtection="1">
      <alignment horizontal="left" vertical="center"/>
    </xf>
    <xf numFmtId="0" fontId="8" fillId="0" borderId="0" xfId="0" applyFont="1" applyBorder="1" applyAlignment="1">
      <alignment horizontal="left" vertical="top" wrapText="1"/>
    </xf>
    <xf numFmtId="0" fontId="9" fillId="3" borderId="21" xfId="0" applyFont="1" applyFill="1" applyBorder="1" applyAlignment="1" applyProtection="1">
      <alignment horizontal="left" vertical="center"/>
    </xf>
    <xf numFmtId="0" fontId="8" fillId="3" borderId="1" xfId="0" quotePrefix="1" applyFont="1" applyFill="1" applyBorder="1" applyAlignment="1" applyProtection="1">
      <alignment horizontal="center" vertical="center"/>
    </xf>
    <xf numFmtId="3" fontId="8" fillId="0" borderId="21" xfId="0" applyNumberFormat="1" applyFont="1" applyFill="1" applyBorder="1" applyAlignment="1" applyProtection="1">
      <alignment horizontal="right" vertical="center"/>
    </xf>
    <xf numFmtId="3" fontId="9" fillId="0" borderId="1" xfId="3" applyFont="1" applyFill="1" applyBorder="1" applyAlignment="1" applyProtection="1">
      <alignment horizontal="right" vertical="center"/>
      <protection locked="0"/>
    </xf>
    <xf numFmtId="3" fontId="9" fillId="0" borderId="1" xfId="0" applyNumberFormat="1" applyFont="1" applyFill="1" applyBorder="1" applyAlignment="1" applyProtection="1">
      <alignment horizontal="right" vertical="center"/>
    </xf>
    <xf numFmtId="3" fontId="9" fillId="0" borderId="1" xfId="6" applyFont="1" applyFill="1" applyBorder="1" applyAlignment="1" applyProtection="1">
      <alignment horizontal="right" vertical="center"/>
    </xf>
    <xf numFmtId="0" fontId="11" fillId="3" borderId="1" xfId="0" quotePrefix="1" applyFont="1" applyFill="1" applyBorder="1" applyAlignment="1" applyProtection="1">
      <alignment horizontal="center" vertical="center"/>
    </xf>
    <xf numFmtId="0" fontId="11" fillId="0" borderId="21" xfId="0" quotePrefix="1" applyFont="1" applyFill="1" applyBorder="1" applyAlignment="1" applyProtection="1">
      <alignment horizontal="center" vertical="center"/>
    </xf>
    <xf numFmtId="0" fontId="8" fillId="0" borderId="1" xfId="0" quotePrefix="1" applyFont="1" applyBorder="1" applyAlignment="1">
      <alignment horizontal="center" vertical="center"/>
    </xf>
    <xf numFmtId="3" fontId="8" fillId="0" borderId="1" xfId="0" applyNumberFormat="1" applyFont="1" applyFill="1" applyBorder="1" applyAlignment="1">
      <alignment horizontal="center" vertical="center"/>
    </xf>
    <xf numFmtId="0" fontId="9" fillId="3" borderId="20" xfId="0" applyFont="1" applyFill="1" applyBorder="1" applyAlignment="1" applyProtection="1">
      <alignment vertical="center"/>
    </xf>
    <xf numFmtId="3" fontId="9" fillId="6" borderId="1" xfId="0" applyNumberFormat="1" applyFont="1" applyFill="1" applyBorder="1" applyAlignment="1">
      <alignment horizontal="center" vertical="center"/>
    </xf>
    <xf numFmtId="0" fontId="9" fillId="0" borderId="28" xfId="0" applyFont="1" applyBorder="1" applyAlignment="1">
      <alignment vertical="center"/>
    </xf>
    <xf numFmtId="0" fontId="9" fillId="3" borderId="1" xfId="0" applyFont="1" applyFill="1" applyBorder="1" applyAlignment="1" applyProtection="1">
      <alignment horizontal="center" vertical="top"/>
    </xf>
    <xf numFmtId="0" fontId="9" fillId="0" borderId="0" xfId="0" applyFont="1" applyAlignment="1">
      <alignment horizontal="center" vertical="center"/>
    </xf>
    <xf numFmtId="0" fontId="8" fillId="0" borderId="1" xfId="0" applyFont="1" applyFill="1" applyBorder="1" applyAlignment="1">
      <alignment horizontal="center" vertical="center"/>
    </xf>
    <xf numFmtId="0" fontId="3" fillId="0" borderId="0" xfId="0" applyFont="1" applyAlignment="1">
      <alignment horizontal="left"/>
    </xf>
    <xf numFmtId="9" fontId="5" fillId="8"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0" borderId="22" xfId="0" applyFont="1" applyBorder="1" applyAlignment="1">
      <alignment vertical="top" wrapText="1"/>
    </xf>
    <xf numFmtId="3" fontId="9" fillId="9" borderId="1" xfId="3" applyNumberFormat="1" applyFont="1" applyFill="1" applyBorder="1" applyAlignment="1" applyProtection="1">
      <alignment horizontal="right" vertical="center"/>
      <protection locked="0"/>
    </xf>
    <xf numFmtId="0" fontId="9" fillId="0" borderId="0" xfId="0" applyFont="1" applyBorder="1" applyAlignment="1">
      <alignment horizontal="right" vertical="center"/>
    </xf>
    <xf numFmtId="0" fontId="0" fillId="0" borderId="0" xfId="0" applyAlignment="1">
      <alignment horizontal="center" vertical="center"/>
    </xf>
    <xf numFmtId="3" fontId="0" fillId="0" borderId="1" xfId="0" applyNumberFormat="1" applyBorder="1"/>
    <xf numFmtId="167" fontId="0" fillId="0" borderId="1" xfId="1" applyNumberFormat="1" applyFont="1" applyBorder="1"/>
    <xf numFmtId="0" fontId="2" fillId="0" borderId="1" xfId="0" applyFont="1" applyBorder="1"/>
    <xf numFmtId="167" fontId="2" fillId="0" borderId="1" xfId="1" applyNumberFormat="1" applyFont="1" applyBorder="1"/>
    <xf numFmtId="0" fontId="0" fillId="0" borderId="0" xfId="0" applyAlignment="1">
      <alignment horizontal="right"/>
    </xf>
    <xf numFmtId="3" fontId="2" fillId="0" borderId="1" xfId="0" applyNumberFormat="1" applyFont="1" applyBorder="1"/>
    <xf numFmtId="0" fontId="0" fillId="0" borderId="0" xfId="0" quotePrefix="1"/>
    <xf numFmtId="0" fontId="0" fillId="0" borderId="0" xfId="0" applyAlignment="1">
      <alignment vertical="center"/>
    </xf>
    <xf numFmtId="0" fontId="5" fillId="0" borderId="1" xfId="0" applyFont="1" applyBorder="1" applyAlignment="1">
      <alignment horizontal="center" vertical="center"/>
    </xf>
    <xf numFmtId="167" fontId="5" fillId="0" borderId="1" xfId="1" applyNumberFormat="1" applyFont="1" applyBorder="1" applyAlignment="1">
      <alignment horizontal="center" vertical="center"/>
    </xf>
    <xf numFmtId="0" fontId="5" fillId="0" borderId="1" xfId="0" applyFont="1" applyBorder="1" applyAlignment="1">
      <alignment horizontal="center" vertical="center" wrapText="1"/>
    </xf>
    <xf numFmtId="167" fontId="3" fillId="0" borderId="0" xfId="0" applyNumberFormat="1" applyFont="1"/>
    <xf numFmtId="0" fontId="3" fillId="0" borderId="0" xfId="0" applyFont="1" applyAlignment="1">
      <alignment vertical="top"/>
    </xf>
    <xf numFmtId="0" fontId="3" fillId="0" borderId="1" xfId="0" applyFont="1" applyBorder="1" applyAlignment="1">
      <alignment horizontal="center" vertical="top"/>
    </xf>
    <xf numFmtId="167" fontId="3" fillId="0" borderId="1" xfId="0" applyNumberFormat="1" applyFont="1" applyBorder="1" applyAlignment="1">
      <alignment vertical="top" wrapText="1"/>
    </xf>
    <xf numFmtId="0" fontId="5" fillId="0" borderId="0" xfId="0" applyFont="1" applyAlignment="1">
      <alignment horizontal="center"/>
    </xf>
    <xf numFmtId="167" fontId="3" fillId="0" borderId="1" xfId="1" applyNumberFormat="1" applyFont="1" applyBorder="1" applyAlignment="1">
      <alignment vertical="top"/>
    </xf>
    <xf numFmtId="167" fontId="5" fillId="0" borderId="1" xfId="1" applyNumberFormat="1" applyFont="1" applyBorder="1" applyAlignment="1">
      <alignment horizontal="center"/>
    </xf>
    <xf numFmtId="167" fontId="5" fillId="0" borderId="0" xfId="0" applyNumberFormat="1" applyFont="1" applyAlignment="1">
      <alignment horizontal="center"/>
    </xf>
    <xf numFmtId="0" fontId="3" fillId="0" borderId="1" xfId="0" applyFont="1" applyBorder="1" applyAlignment="1">
      <alignment horizont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8" fillId="0" borderId="1" xfId="0" quotePrefix="1" applyFont="1" applyBorder="1" applyAlignment="1">
      <alignment horizontal="center" vertical="center"/>
    </xf>
    <xf numFmtId="167" fontId="3" fillId="0" borderId="1" xfId="0" applyNumberFormat="1" applyFont="1" applyBorder="1" applyAlignment="1">
      <alignment vertical="top"/>
    </xf>
    <xf numFmtId="167" fontId="3" fillId="0" borderId="0" xfId="1" applyNumberFormat="1" applyFont="1" applyAlignment="1">
      <alignment vertical="top"/>
    </xf>
    <xf numFmtId="167" fontId="3" fillId="0" borderId="0" xfId="0" applyNumberFormat="1" applyFont="1" applyAlignment="1">
      <alignment vertical="top"/>
    </xf>
    <xf numFmtId="167" fontId="5" fillId="0" borderId="0" xfId="1" applyNumberFormat="1" applyFont="1" applyAlignment="1">
      <alignment horizontal="center"/>
    </xf>
    <xf numFmtId="167" fontId="3" fillId="0" borderId="1" xfId="1" applyNumberFormat="1" applyFont="1" applyFill="1" applyBorder="1"/>
    <xf numFmtId="167" fontId="3" fillId="0" borderId="1" xfId="1" applyNumberFormat="1" applyFont="1" applyFill="1" applyBorder="1" applyAlignment="1">
      <alignment vertical="top"/>
    </xf>
    <xf numFmtId="0" fontId="17" fillId="0" borderId="0" xfId="0" applyFont="1"/>
    <xf numFmtId="9" fontId="17" fillId="0" borderId="0" xfId="0" applyNumberFormat="1" applyFont="1"/>
    <xf numFmtId="0" fontId="8" fillId="8" borderId="1" xfId="0" applyFont="1" applyFill="1" applyBorder="1" applyAlignment="1" applyProtection="1">
      <alignment horizontal="center" vertical="center" wrapText="1"/>
    </xf>
    <xf numFmtId="0" fontId="8" fillId="8" borderId="1" xfId="0" applyNumberFormat="1" applyFont="1" applyFill="1" applyBorder="1" applyAlignment="1" applyProtection="1">
      <alignment horizontal="center" vertical="center" wrapText="1"/>
    </xf>
    <xf numFmtId="0" fontId="8" fillId="8" borderId="21" xfId="0" applyFont="1" applyFill="1" applyBorder="1" applyAlignment="1" applyProtection="1">
      <alignment horizontal="center" vertical="center"/>
    </xf>
    <xf numFmtId="0" fontId="8" fillId="8" borderId="21" xfId="0" applyFont="1" applyFill="1" applyBorder="1" applyAlignment="1" applyProtection="1">
      <alignment horizontal="center" vertical="center" wrapText="1"/>
    </xf>
    <xf numFmtId="0" fontId="8" fillId="8" borderId="1" xfId="0" applyFont="1" applyFill="1" applyBorder="1" applyAlignment="1" applyProtection="1">
      <alignment horizontal="center" vertic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quotePrefix="1" applyFont="1" applyFill="1" applyBorder="1" applyAlignment="1">
      <alignment horizontal="center" vertical="center"/>
    </xf>
    <xf numFmtId="3" fontId="8" fillId="0" borderId="1" xfId="5" applyNumberFormat="1" applyFont="1" applyFill="1" applyBorder="1" applyAlignment="1" applyProtection="1">
      <alignment horizontal="right" vertical="center"/>
    </xf>
    <xf numFmtId="3" fontId="8" fillId="0" borderId="1" xfId="5" applyFont="1" applyFill="1" applyBorder="1" applyAlignment="1" applyProtection="1">
      <alignment horizontal="right" vertical="center"/>
    </xf>
    <xf numFmtId="0" fontId="9" fillId="3" borderId="1" xfId="0" quotePrefix="1" applyFont="1" applyFill="1" applyBorder="1" applyAlignment="1" applyProtection="1">
      <alignment horizontal="center" vertical="center"/>
    </xf>
    <xf numFmtId="0" fontId="0" fillId="8" borderId="1" xfId="0" applyFill="1" applyBorder="1" applyAlignment="1">
      <alignment horizontal="center" vertical="center"/>
    </xf>
    <xf numFmtId="0" fontId="3" fillId="0" borderId="0" xfId="0" applyFont="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lignment horizontal="center"/>
    </xf>
    <xf numFmtId="0" fontId="2" fillId="8" borderId="1" xfId="0" quotePrefix="1" applyFont="1" applyFill="1" applyBorder="1" applyAlignment="1">
      <alignment horizontal="center" vertical="center"/>
    </xf>
    <xf numFmtId="0" fontId="2" fillId="8" borderId="1"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0" fillId="0" borderId="0" xfId="0" quotePrefix="1" applyFont="1"/>
    <xf numFmtId="0" fontId="10" fillId="0" borderId="1" xfId="0" quotePrefix="1" applyFont="1" applyBorder="1" applyAlignment="1">
      <alignment horizontal="center" vertical="center"/>
    </xf>
    <xf numFmtId="0" fontId="10" fillId="0" borderId="1" xfId="0" quotePrefix="1" applyFont="1" applyFill="1" applyBorder="1" applyAlignment="1">
      <alignment horizontal="center" vertical="center"/>
    </xf>
    <xf numFmtId="0" fontId="10" fillId="0" borderId="1" xfId="0" quotePrefix="1" applyFont="1" applyFill="1" applyBorder="1" applyAlignment="1" applyProtection="1">
      <alignment horizontal="center" vertical="center"/>
    </xf>
    <xf numFmtId="0" fontId="9" fillId="0" borderId="0" xfId="0" applyFont="1" applyBorder="1" applyAlignment="1">
      <alignment vertical="top" wrapText="1"/>
    </xf>
    <xf numFmtId="0" fontId="0" fillId="0" borderId="0" xfId="0" quotePrefix="1" applyFont="1" applyAlignment="1">
      <alignment horizontal="center"/>
    </xf>
    <xf numFmtId="0" fontId="0" fillId="0" borderId="0" xfId="0" applyFont="1" applyAlignment="1">
      <alignment horizontal="center"/>
    </xf>
    <xf numFmtId="0" fontId="3" fillId="0" borderId="1" xfId="1" applyNumberFormat="1" applyFont="1" applyBorder="1"/>
    <xf numFmtId="0" fontId="5" fillId="0" borderId="1" xfId="1" applyNumberFormat="1" applyFont="1" applyBorder="1" applyAlignment="1">
      <alignment horizontal="right" vertical="center"/>
    </xf>
    <xf numFmtId="0" fontId="3" fillId="0" borderId="1" xfId="0" applyFont="1" applyBorder="1" applyAlignment="1">
      <alignment horizontal="center"/>
    </xf>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8" borderId="1" xfId="0" quotePrefix="1" applyFont="1" applyFill="1" applyBorder="1" applyAlignment="1">
      <alignment horizontal="center" vertical="center"/>
    </xf>
    <xf numFmtId="0" fontId="8" fillId="8" borderId="1" xfId="0" applyFont="1" applyFill="1" applyBorder="1" applyAlignment="1">
      <alignment horizontal="center" vertical="center"/>
    </xf>
    <xf numFmtId="0" fontId="8" fillId="0" borderId="0" xfId="0" applyFont="1" applyBorder="1" applyAlignment="1">
      <alignment horizontal="left" vertical="top" wrapText="1"/>
    </xf>
    <xf numFmtId="0" fontId="9" fillId="3" borderId="20" xfId="0" applyFont="1" applyFill="1" applyBorder="1" applyAlignment="1" applyProtection="1">
      <alignment vertical="center"/>
    </xf>
    <xf numFmtId="0" fontId="8" fillId="0" borderId="0" xfId="0" applyFont="1" applyBorder="1" applyAlignment="1">
      <alignment vertical="center"/>
    </xf>
    <xf numFmtId="0" fontId="9" fillId="3" borderId="1" xfId="0" applyFont="1" applyFill="1" applyBorder="1" applyAlignment="1" applyProtection="1">
      <alignment vertical="center"/>
    </xf>
    <xf numFmtId="0" fontId="10" fillId="0" borderId="1" xfId="0" quotePrefix="1" applyFont="1" applyBorder="1" applyAlignment="1">
      <alignment horizontal="center" vertical="center"/>
    </xf>
    <xf numFmtId="0" fontId="0" fillId="8" borderId="1" xfId="0" applyFill="1" applyBorder="1" applyAlignment="1">
      <alignment horizontal="center" vertical="center"/>
    </xf>
    <xf numFmtId="165" fontId="3" fillId="0" borderId="1" xfId="2" applyFont="1" applyBorder="1"/>
    <xf numFmtId="0" fontId="2" fillId="8" borderId="1" xfId="0" quotePrefix="1" applyFont="1" applyFill="1" applyBorder="1" applyAlignment="1">
      <alignment horizontal="center" vertical="center"/>
    </xf>
    <xf numFmtId="165" fontId="3" fillId="0" borderId="0" xfId="2" applyFont="1" applyAlignment="1">
      <alignment vertical="top"/>
    </xf>
    <xf numFmtId="165" fontId="3" fillId="0" borderId="0" xfId="2" applyFont="1"/>
    <xf numFmtId="165" fontId="3" fillId="0" borderId="0" xfId="0" applyNumberFormat="1" applyFont="1"/>
    <xf numFmtId="0" fontId="18" fillId="0" borderId="1" xfId="0" applyFont="1" applyBorder="1" applyAlignment="1">
      <alignment horizontal="center" vertical="top"/>
    </xf>
    <xf numFmtId="167" fontId="18" fillId="0" borderId="0" xfId="1" applyNumberFormat="1" applyFont="1" applyAlignment="1">
      <alignment vertical="top"/>
    </xf>
    <xf numFmtId="0" fontId="18" fillId="0" borderId="0" xfId="0" applyFont="1" applyAlignment="1">
      <alignment vertical="top"/>
    </xf>
    <xf numFmtId="167" fontId="18" fillId="0" borderId="0" xfId="0" applyNumberFormat="1" applyFont="1" applyAlignment="1">
      <alignment vertical="top"/>
    </xf>
    <xf numFmtId="165" fontId="18" fillId="0" borderId="0" xfId="2" applyFont="1" applyAlignment="1">
      <alignment vertical="top"/>
    </xf>
    <xf numFmtId="167" fontId="3" fillId="10" borderId="1" xfId="1" applyNumberFormat="1" applyFont="1" applyFill="1" applyBorder="1" applyAlignment="1">
      <alignment vertical="top"/>
    </xf>
    <xf numFmtId="3" fontId="18" fillId="0" borderId="0" xfId="1" applyNumberFormat="1" applyFont="1" applyAlignment="1">
      <alignment vertical="top"/>
    </xf>
    <xf numFmtId="3" fontId="18" fillId="0" borderId="0" xfId="0" applyNumberFormat="1" applyFont="1" applyAlignment="1">
      <alignment vertical="top"/>
    </xf>
    <xf numFmtId="3" fontId="18" fillId="0" borderId="0" xfId="1" applyNumberFormat="1" applyFont="1"/>
    <xf numFmtId="3" fontId="5" fillId="0" borderId="0" xfId="1" applyNumberFormat="1" applyFont="1" applyAlignment="1">
      <alignment horizontal="center"/>
    </xf>
    <xf numFmtId="3" fontId="3" fillId="0" borderId="0" xfId="0" applyNumberFormat="1" applyFont="1" applyAlignment="1">
      <alignment vertical="top"/>
    </xf>
    <xf numFmtId="165" fontId="3" fillId="0" borderId="0" xfId="1" applyNumberFormat="1" applyFont="1" applyAlignment="1">
      <alignment vertical="top"/>
    </xf>
    <xf numFmtId="167" fontId="19" fillId="0" borderId="1" xfId="0" applyNumberFormat="1" applyFont="1" applyBorder="1" applyAlignment="1">
      <alignment vertical="top"/>
    </xf>
    <xf numFmtId="167" fontId="19" fillId="0" borderId="1" xfId="1" applyNumberFormat="1" applyFont="1" applyBorder="1" applyAlignment="1">
      <alignment vertical="top"/>
    </xf>
    <xf numFmtId="167" fontId="19" fillId="10" borderId="1" xfId="1" applyNumberFormat="1" applyFont="1" applyFill="1" applyBorder="1" applyAlignment="1">
      <alignment vertical="top"/>
    </xf>
    <xf numFmtId="167" fontId="19" fillId="0" borderId="1" xfId="0" applyNumberFormat="1" applyFont="1" applyBorder="1" applyAlignment="1">
      <alignment vertical="top" wrapText="1"/>
    </xf>
    <xf numFmtId="3" fontId="19" fillId="0" borderId="1" xfId="1" applyNumberFormat="1" applyFont="1" applyBorder="1" applyAlignment="1">
      <alignment vertical="top"/>
    </xf>
    <xf numFmtId="168" fontId="20" fillId="5" borderId="29" xfId="0" applyNumberFormat="1" applyFont="1" applyFill="1" applyBorder="1" applyAlignment="1">
      <alignment vertical="top" wrapText="1"/>
    </xf>
    <xf numFmtId="167" fontId="19" fillId="0" borderId="1" xfId="1" applyNumberFormat="1" applyFont="1" applyFill="1" applyBorder="1" applyAlignment="1">
      <alignment vertical="top"/>
    </xf>
    <xf numFmtId="0" fontId="19" fillId="0" borderId="0" xfId="0" applyFont="1"/>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169" fontId="3" fillId="0" borderId="0" xfId="16" applyNumberFormat="1" applyFont="1"/>
    <xf numFmtId="0" fontId="9" fillId="3" borderId="1" xfId="0" applyFont="1" applyFill="1" applyBorder="1" applyAlignment="1" applyProtection="1">
      <alignment vertical="center"/>
    </xf>
    <xf numFmtId="0" fontId="8" fillId="0" borderId="0" xfId="0" applyFont="1" applyBorder="1" applyAlignment="1">
      <alignment vertical="center"/>
    </xf>
    <xf numFmtId="0" fontId="8" fillId="8" borderId="1" xfId="0" quotePrefix="1" applyFont="1" applyFill="1" applyBorder="1" applyAlignment="1">
      <alignment horizontal="center" vertical="center"/>
    </xf>
    <xf numFmtId="0" fontId="9" fillId="3" borderId="20" xfId="0" applyFont="1" applyFill="1" applyBorder="1" applyAlignment="1" applyProtection="1">
      <alignment vertical="center"/>
    </xf>
    <xf numFmtId="0" fontId="8" fillId="8" borderId="1" xfId="0" applyFont="1" applyFill="1" applyBorder="1" applyAlignment="1">
      <alignment horizontal="center" vertical="center"/>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0" borderId="0" xfId="0" applyFont="1" applyBorder="1" applyAlignment="1">
      <alignment horizontal="left" vertical="top" wrapText="1"/>
    </xf>
    <xf numFmtId="0" fontId="10" fillId="0" borderId="1" xfId="0" quotePrefix="1" applyFont="1" applyBorder="1" applyAlignment="1">
      <alignment horizontal="center" vertical="center"/>
    </xf>
    <xf numFmtId="0" fontId="2" fillId="8" borderId="1" xfId="0" quotePrefix="1" applyFont="1" applyFill="1" applyBorder="1" applyAlignment="1">
      <alignment horizontal="center" vertical="center"/>
    </xf>
    <xf numFmtId="0" fontId="0" fillId="8" borderId="1" xfId="0" applyFill="1" applyBorder="1" applyAlignment="1">
      <alignment horizontal="center" vertical="center"/>
    </xf>
    <xf numFmtId="165" fontId="19" fillId="0" borderId="0" xfId="2" applyFont="1"/>
    <xf numFmtId="43" fontId="3" fillId="0" borderId="1" xfId="1" applyNumberFormat="1" applyFont="1" applyBorder="1"/>
    <xf numFmtId="9" fontId="19" fillId="0" borderId="0" xfId="0" applyNumberFormat="1" applyFont="1"/>
    <xf numFmtId="165" fontId="19" fillId="0" borderId="1" xfId="2" applyFont="1" applyBorder="1" applyAlignment="1">
      <alignment vertical="top"/>
    </xf>
    <xf numFmtId="0" fontId="3" fillId="0" borderId="1" xfId="0" applyFont="1" applyBorder="1" applyAlignment="1">
      <alignment horizontal="center"/>
    </xf>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8" borderId="1" xfId="0" quotePrefix="1" applyFont="1" applyFill="1" applyBorder="1" applyAlignment="1">
      <alignment horizontal="center" vertical="center"/>
    </xf>
    <xf numFmtId="0" fontId="8" fillId="8" borderId="1" xfId="0" applyFont="1" applyFill="1" applyBorder="1" applyAlignment="1">
      <alignment horizontal="center" vertical="center"/>
    </xf>
    <xf numFmtId="0" fontId="8" fillId="0" borderId="0" xfId="0" applyFont="1" applyBorder="1" applyAlignment="1">
      <alignment horizontal="left" vertical="top" wrapText="1"/>
    </xf>
    <xf numFmtId="0" fontId="9" fillId="3" borderId="20" xfId="0" applyFont="1" applyFill="1" applyBorder="1" applyAlignment="1" applyProtection="1">
      <alignment vertical="center"/>
    </xf>
    <xf numFmtId="0" fontId="8" fillId="0" borderId="0" xfId="0" applyFont="1" applyBorder="1" applyAlignment="1">
      <alignment vertical="center"/>
    </xf>
    <xf numFmtId="0" fontId="9" fillId="3" borderId="1" xfId="0" applyFont="1" applyFill="1" applyBorder="1" applyAlignment="1" applyProtection="1">
      <alignment vertical="center"/>
    </xf>
    <xf numFmtId="0" fontId="10" fillId="0" borderId="1" xfId="0" quotePrefix="1" applyFont="1" applyBorder="1" applyAlignment="1">
      <alignment horizontal="center" vertical="center"/>
    </xf>
    <xf numFmtId="0" fontId="0" fillId="8" borderId="1" xfId="0" applyFill="1" applyBorder="1" applyAlignment="1">
      <alignment horizontal="center" vertical="center"/>
    </xf>
    <xf numFmtId="3" fontId="9" fillId="5" borderId="21" xfId="3" applyNumberFormat="1" applyFont="1" applyFill="1" applyBorder="1" applyAlignment="1" applyProtection="1">
      <alignment horizontal="right" vertical="center"/>
      <protection locked="0"/>
    </xf>
    <xf numFmtId="3" fontId="9" fillId="5" borderId="1" xfId="3" applyNumberFormat="1" applyFont="1" applyFill="1" applyBorder="1" applyAlignment="1" applyProtection="1">
      <alignment horizontal="right" vertical="center"/>
      <protection locked="0"/>
    </xf>
    <xf numFmtId="167" fontId="19" fillId="0" borderId="4" xfId="1" applyNumberFormat="1" applyFont="1" applyBorder="1" applyAlignment="1">
      <alignment vertical="top"/>
    </xf>
    <xf numFmtId="167" fontId="19" fillId="0" borderId="19" xfId="1" applyNumberFormat="1" applyFont="1" applyBorder="1" applyAlignment="1">
      <alignment vertical="top"/>
    </xf>
    <xf numFmtId="167" fontId="19" fillId="0" borderId="21" xfId="1" applyNumberFormat="1" applyFont="1" applyBorder="1" applyAlignment="1">
      <alignment vertical="top"/>
    </xf>
    <xf numFmtId="167" fontId="19" fillId="0" borderId="2" xfId="1" applyNumberFormat="1" applyFont="1" applyBorder="1" applyAlignment="1">
      <alignment vertical="top"/>
    </xf>
    <xf numFmtId="168" fontId="20" fillId="5" borderId="1" xfId="0" applyNumberFormat="1" applyFont="1" applyFill="1" applyBorder="1" applyAlignment="1">
      <alignment vertical="top" wrapText="1"/>
    </xf>
    <xf numFmtId="0" fontId="3" fillId="0" borderId="1" xfId="0" applyFont="1" applyBorder="1" applyAlignment="1">
      <alignment horizontal="center"/>
    </xf>
    <xf numFmtId="0" fontId="5" fillId="8" borderId="1" xfId="0" applyFont="1" applyFill="1" applyBorder="1" applyAlignment="1">
      <alignment horizontal="center" vertical="center"/>
    </xf>
    <xf numFmtId="0" fontId="5" fillId="0" borderId="5" xfId="0" applyFont="1" applyBorder="1" applyAlignment="1">
      <alignment horizontal="right"/>
    </xf>
    <xf numFmtId="0" fontId="9" fillId="3" borderId="1" xfId="0" applyFont="1" applyFill="1" applyBorder="1" applyAlignment="1" applyProtection="1">
      <alignment vertical="center"/>
    </xf>
    <xf numFmtId="0" fontId="8" fillId="0" borderId="0" xfId="0" applyFont="1" applyBorder="1" applyAlignment="1">
      <alignment vertical="center"/>
    </xf>
    <xf numFmtId="0" fontId="8" fillId="8" borderId="1" xfId="0" quotePrefix="1" applyFont="1" applyFill="1" applyBorder="1" applyAlignment="1">
      <alignment horizontal="center" vertical="center"/>
    </xf>
    <xf numFmtId="0" fontId="9" fillId="3" borderId="20" xfId="0" applyFont="1" applyFill="1" applyBorder="1" applyAlignment="1" applyProtection="1">
      <alignment vertical="center"/>
    </xf>
    <xf numFmtId="0" fontId="8" fillId="8" borderId="1" xfId="0" applyFont="1" applyFill="1" applyBorder="1" applyAlignment="1">
      <alignment horizontal="center" vertical="center"/>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0" borderId="0" xfId="0" applyFont="1" applyBorder="1" applyAlignment="1">
      <alignment horizontal="left" vertical="top" wrapText="1"/>
    </xf>
    <xf numFmtId="0" fontId="10" fillId="0" borderId="1" xfId="0" quotePrefix="1" applyFont="1" applyBorder="1" applyAlignment="1">
      <alignment horizontal="center" vertical="center"/>
    </xf>
    <xf numFmtId="0" fontId="2" fillId="8" borderId="1" xfId="0" quotePrefix="1" applyFont="1" applyFill="1" applyBorder="1" applyAlignment="1">
      <alignment horizontal="center" vertical="center"/>
    </xf>
    <xf numFmtId="0" fontId="0" fillId="8" borderId="1" xfId="0" applyFill="1" applyBorder="1" applyAlignment="1">
      <alignment horizontal="center" vertical="center"/>
    </xf>
    <xf numFmtId="0" fontId="3" fillId="0" borderId="1" xfId="0" quotePrefix="1"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5" fillId="8" borderId="1" xfId="0" quotePrefix="1" applyFont="1" applyFill="1" applyBorder="1" applyAlignment="1">
      <alignment horizontal="center" vertical="center"/>
    </xf>
    <xf numFmtId="0" fontId="5" fillId="8" borderId="2" xfId="0" applyFont="1" applyFill="1" applyBorder="1" applyAlignment="1">
      <alignment horizontal="center" vertical="center"/>
    </xf>
    <xf numFmtId="0" fontId="5" fillId="8"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quotePrefix="1" applyFont="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0" borderId="8"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right"/>
    </xf>
    <xf numFmtId="165" fontId="5" fillId="2" borderId="6" xfId="2" applyFont="1" applyFill="1" applyBorder="1" applyAlignment="1">
      <alignment horizontal="center" vertical="center" wrapText="1"/>
    </xf>
    <xf numFmtId="165" fontId="5" fillId="2" borderId="11" xfId="2" applyFont="1" applyFill="1" applyBorder="1" applyAlignment="1">
      <alignment horizontal="center" vertical="center" wrapText="1"/>
    </xf>
    <xf numFmtId="165" fontId="5" fillId="2" borderId="14" xfId="2"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8" xfId="0" quotePrefix="1"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8" xfId="0" applyFont="1" applyFill="1" applyBorder="1" applyAlignment="1">
      <alignment horizontal="center"/>
    </xf>
    <xf numFmtId="0" fontId="8" fillId="0" borderId="1" xfId="0" applyFont="1" applyFill="1" applyBorder="1" applyAlignment="1">
      <alignment vertical="center"/>
    </xf>
    <xf numFmtId="0" fontId="8" fillId="8" borderId="19"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9" fillId="0" borderId="22" xfId="0" applyFont="1" applyBorder="1" applyAlignment="1">
      <alignment horizontal="right" vertical="top" wrapText="1"/>
    </xf>
    <xf numFmtId="0" fontId="8" fillId="0" borderId="1" xfId="0" applyFont="1" applyFill="1" applyBorder="1" applyAlignment="1">
      <alignment horizontal="left" vertical="center"/>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2" xfId="0" applyFont="1" applyFill="1" applyBorder="1" applyAlignment="1">
      <alignment horizontal="center" vertical="center"/>
    </xf>
    <xf numFmtId="0" fontId="8" fillId="8" borderId="27" xfId="0" applyFont="1" applyFill="1" applyBorder="1" applyAlignment="1">
      <alignment horizontal="center" vertical="center"/>
    </xf>
    <xf numFmtId="0" fontId="9" fillId="3" borderId="1" xfId="0" applyFont="1" applyFill="1" applyBorder="1" applyAlignment="1" applyProtection="1">
      <alignment vertical="center"/>
    </xf>
    <xf numFmtId="0" fontId="9" fillId="3" borderId="1" xfId="0" applyFont="1" applyFill="1" applyBorder="1" applyAlignment="1" applyProtection="1">
      <alignment vertical="center" wrapText="1"/>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8" borderId="1" xfId="0" quotePrefix="1" applyFont="1" applyFill="1" applyBorder="1" applyAlignment="1">
      <alignment horizontal="center" vertical="center"/>
    </xf>
    <xf numFmtId="0" fontId="9" fillId="3" borderId="20" xfId="0" applyFont="1" applyFill="1" applyBorder="1" applyAlignment="1" applyProtection="1">
      <alignment vertical="center"/>
    </xf>
    <xf numFmtId="0" fontId="9" fillId="3" borderId="21" xfId="0" applyFont="1" applyFill="1" applyBorder="1" applyAlignment="1" applyProtection="1">
      <alignment vertical="center"/>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9" fillId="0" borderId="22" xfId="0" applyFont="1" applyBorder="1" applyAlignment="1">
      <alignment horizontal="right" vertical="center"/>
    </xf>
    <xf numFmtId="0" fontId="8" fillId="0" borderId="19" xfId="0" quotePrefix="1"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8" borderId="1" xfId="0" applyFont="1" applyFill="1" applyBorder="1" applyAlignment="1">
      <alignment horizontal="center" vertical="center"/>
    </xf>
    <xf numFmtId="0" fontId="9" fillId="3" borderId="20"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8" fillId="0" borderId="19" xfId="4" applyFont="1" applyFill="1" applyBorder="1" applyAlignment="1" applyProtection="1">
      <alignment horizontal="left" vertical="center"/>
    </xf>
    <xf numFmtId="0" fontId="8" fillId="0" borderId="20" xfId="4" applyFont="1" applyFill="1" applyBorder="1" applyAlignment="1" applyProtection="1">
      <alignment horizontal="left" vertical="center"/>
    </xf>
    <xf numFmtId="0" fontId="8" fillId="0" borderId="21" xfId="4" applyFont="1" applyFill="1" applyBorder="1" applyAlignment="1" applyProtection="1">
      <alignment horizontal="left" vertical="center"/>
    </xf>
    <xf numFmtId="0" fontId="8" fillId="3" borderId="19" xfId="0" quotePrefix="1"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9" fillId="0" borderId="20"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8" fillId="8" borderId="2" xfId="0" applyFont="1" applyFill="1" applyBorder="1" applyAlignment="1" applyProtection="1">
      <alignment horizontal="center" vertical="center"/>
    </xf>
    <xf numFmtId="0" fontId="8" fillId="8" borderId="4" xfId="0" applyFont="1" applyFill="1" applyBorder="1" applyAlignment="1" applyProtection="1">
      <alignment horizontal="center" vertical="center"/>
    </xf>
    <xf numFmtId="0" fontId="8" fillId="8" borderId="23" xfId="0" applyFont="1" applyFill="1" applyBorder="1" applyAlignment="1" applyProtection="1">
      <alignment horizontal="center" vertical="center"/>
    </xf>
    <xf numFmtId="0" fontId="8" fillId="8" borderId="24" xfId="0" applyFont="1" applyFill="1" applyBorder="1" applyAlignment="1" applyProtection="1">
      <alignment horizontal="center" vertical="center"/>
    </xf>
    <xf numFmtId="0" fontId="8" fillId="8" borderId="25" xfId="0" applyFont="1" applyFill="1" applyBorder="1" applyAlignment="1" applyProtection="1">
      <alignment horizontal="center" vertical="center"/>
    </xf>
    <xf numFmtId="0" fontId="8" fillId="8" borderId="26" xfId="0" applyFont="1" applyFill="1" applyBorder="1" applyAlignment="1" applyProtection="1">
      <alignment horizontal="center" vertical="center"/>
    </xf>
    <xf numFmtId="0" fontId="8" fillId="8" borderId="22" xfId="0" applyFont="1" applyFill="1" applyBorder="1" applyAlignment="1" applyProtection="1">
      <alignment horizontal="center" vertical="center"/>
    </xf>
    <xf numFmtId="0" fontId="8" fillId="8" borderId="27" xfId="0" applyFont="1" applyFill="1" applyBorder="1" applyAlignment="1" applyProtection="1">
      <alignment horizontal="center" vertical="center"/>
    </xf>
    <xf numFmtId="0" fontId="8" fillId="0" borderId="0" xfId="0" applyFont="1" applyBorder="1" applyAlignment="1">
      <alignment horizontal="left" vertical="top" wrapText="1"/>
    </xf>
    <xf numFmtId="0" fontId="11" fillId="3" borderId="19" xfId="0" quotePrefix="1"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8" fillId="0" borderId="0" xfId="0" applyFont="1" applyBorder="1" applyAlignment="1">
      <alignment vertical="top" wrapText="1"/>
    </xf>
    <xf numFmtId="0" fontId="10" fillId="3" borderId="19" xfId="0" quotePrefix="1"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9" fillId="0" borderId="0" xfId="0" applyFont="1" applyBorder="1" applyAlignment="1">
      <alignment horizontal="right" vertical="top" wrapText="1"/>
    </xf>
    <xf numFmtId="0" fontId="10"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19" xfId="0" quotePrefix="1"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8" borderId="1" xfId="0" quotePrefix="1" applyFont="1" applyFill="1" applyBorder="1" applyAlignment="1">
      <alignment horizontal="center" vertical="center"/>
    </xf>
    <xf numFmtId="0" fontId="2" fillId="8" borderId="1" xfId="0" applyFont="1" applyFill="1" applyBorder="1" applyAlignment="1">
      <alignment horizontal="center" vertical="center"/>
    </xf>
    <xf numFmtId="0" fontId="0" fillId="8" borderId="1" xfId="0" applyFill="1" applyBorder="1" applyAlignment="1">
      <alignment horizontal="center" vertical="center"/>
    </xf>
    <xf numFmtId="0" fontId="0" fillId="8" borderId="19" xfId="0" quotePrefix="1" applyFill="1" applyBorder="1" applyAlignment="1">
      <alignment horizontal="center" vertical="center"/>
    </xf>
    <xf numFmtId="0" fontId="0" fillId="8" borderId="20" xfId="0" quotePrefix="1" applyFill="1" applyBorder="1" applyAlignment="1">
      <alignment horizontal="center" vertical="center"/>
    </xf>
    <xf numFmtId="0" fontId="0" fillId="8" borderId="21" xfId="0" quotePrefix="1" applyFill="1" applyBorder="1" applyAlignment="1">
      <alignment horizontal="center" vertical="center"/>
    </xf>
    <xf numFmtId="0" fontId="0" fillId="8" borderId="19" xfId="0" applyFill="1" applyBorder="1" applyAlignment="1">
      <alignment horizontal="center" vertical="center"/>
    </xf>
    <xf numFmtId="0" fontId="0" fillId="8" borderId="21" xfId="0" applyFill="1" applyBorder="1" applyAlignment="1">
      <alignment horizontal="center" vertical="center"/>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cellXfs>
  <cellStyles count="17">
    <cellStyle name="Comma" xfId="1" builtinId="3"/>
    <cellStyle name="Comma [0]" xfId="2" builtinId="6"/>
    <cellStyle name="Comma [0] 2" xfId="9"/>
    <cellStyle name="Comma 2" xfId="10"/>
    <cellStyle name="Comma 3" xfId="8"/>
    <cellStyle name="Currency [0] 2" xfId="11"/>
    <cellStyle name="highlightExposure" xfId="5"/>
    <cellStyle name="highlightText" xfId="4"/>
    <cellStyle name="inputExposure" xfId="3"/>
    <cellStyle name="Normal" xfId="0" builtinId="0"/>
    <cellStyle name="Normal 2" xfId="12"/>
    <cellStyle name="Normal 3" xfId="13"/>
    <cellStyle name="Normal 4" xfId="7"/>
    <cellStyle name="Percent" xfId="16" builtinId="5"/>
    <cellStyle name="Percent 2" xfId="15"/>
    <cellStyle name="Percent 3" xfId="14"/>
    <cellStyle name="showExposur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104" zoomScaleNormal="104" workbookViewId="0">
      <selection activeCell="F15" sqref="F15"/>
    </sheetView>
  </sheetViews>
  <sheetFormatPr defaultColWidth="8.7109375" defaultRowHeight="11.25" x14ac:dyDescent="0.2"/>
  <cols>
    <col min="1" max="1" width="2.85546875" style="22" bestFit="1" customWidth="1"/>
    <col min="2" max="2" width="32" style="6" customWidth="1"/>
    <col min="3" max="3" width="19" style="6" customWidth="1"/>
    <col min="4" max="4" width="6.7109375" style="6" bestFit="1" customWidth="1"/>
    <col min="5" max="5" width="13.140625" style="6" customWidth="1"/>
    <col min="6" max="6" width="11.7109375" style="6" customWidth="1"/>
    <col min="7" max="7" width="14.7109375" style="6" customWidth="1"/>
    <col min="8" max="8" width="13.140625" style="6" customWidth="1"/>
    <col min="9" max="9" width="11.42578125" style="6" customWidth="1"/>
    <col min="10" max="10" width="11.7109375" style="6" customWidth="1"/>
    <col min="11" max="11" width="12" style="6" customWidth="1"/>
    <col min="12" max="12" width="11.85546875" style="6" customWidth="1"/>
    <col min="13" max="13" width="12.140625" style="6" customWidth="1"/>
    <col min="14" max="14" width="11.85546875" style="6" customWidth="1"/>
    <col min="15" max="16" width="8.7109375" style="6"/>
    <col min="17" max="17" width="10.5703125" style="6" bestFit="1" customWidth="1"/>
    <col min="18" max="16384" width="8.7109375" style="6"/>
  </cols>
  <sheetData>
    <row r="1" spans="1:17" x14ac:dyDescent="0.2">
      <c r="A1" s="100" t="s">
        <v>234</v>
      </c>
    </row>
    <row r="2" spans="1:17" x14ac:dyDescent="0.2">
      <c r="A2" s="100"/>
      <c r="B2" s="6" t="s">
        <v>235</v>
      </c>
    </row>
    <row r="4" spans="1:17" x14ac:dyDescent="0.2">
      <c r="A4" s="23"/>
      <c r="B4" s="16"/>
      <c r="C4" s="16"/>
      <c r="D4" s="260" t="s">
        <v>23</v>
      </c>
      <c r="E4" s="261"/>
      <c r="F4" s="261"/>
      <c r="G4" s="261"/>
      <c r="H4" s="261"/>
      <c r="I4" s="261"/>
      <c r="J4" s="261"/>
      <c r="K4" s="261"/>
      <c r="L4" s="261"/>
      <c r="M4" s="261"/>
      <c r="N4" s="261"/>
      <c r="O4" s="261"/>
      <c r="P4" s="261"/>
    </row>
    <row r="5" spans="1:17" x14ac:dyDescent="0.2">
      <c r="A5" s="265"/>
      <c r="B5" s="262" t="s">
        <v>19</v>
      </c>
      <c r="C5" s="16"/>
      <c r="D5" s="261" t="s">
        <v>59</v>
      </c>
      <c r="E5" s="261"/>
      <c r="F5" s="261"/>
      <c r="G5" s="261"/>
      <c r="H5" s="261"/>
      <c r="I5" s="261"/>
      <c r="J5" s="261"/>
      <c r="K5" s="261"/>
      <c r="L5" s="261"/>
      <c r="M5" s="261"/>
      <c r="N5" s="261"/>
      <c r="O5" s="261"/>
      <c r="P5" s="261"/>
    </row>
    <row r="6" spans="1:17" x14ac:dyDescent="0.2">
      <c r="A6" s="266"/>
      <c r="B6" s="263"/>
      <c r="C6" s="16" t="s">
        <v>164</v>
      </c>
      <c r="D6" s="261" t="s">
        <v>233</v>
      </c>
      <c r="E6" s="261"/>
      <c r="F6" s="261"/>
      <c r="G6" s="261"/>
      <c r="H6" s="261"/>
      <c r="I6" s="261"/>
      <c r="J6" s="261"/>
      <c r="K6" s="261" t="s">
        <v>232</v>
      </c>
      <c r="L6" s="261"/>
      <c r="M6" s="261"/>
      <c r="N6" s="261"/>
      <c r="O6" s="268" t="s">
        <v>230</v>
      </c>
      <c r="P6" s="262" t="s">
        <v>231</v>
      </c>
    </row>
    <row r="7" spans="1:17"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7"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7"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7"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7"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7" x14ac:dyDescent="0.2">
      <c r="A12" s="267"/>
      <c r="B12" s="264"/>
      <c r="C12" s="16" t="s">
        <v>218</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7"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7" x14ac:dyDescent="0.2">
      <c r="A14" s="23">
        <v>1</v>
      </c>
      <c r="B14" s="17" t="s">
        <v>0</v>
      </c>
      <c r="C14" s="24"/>
      <c r="D14" s="24"/>
      <c r="E14" s="24"/>
      <c r="F14" s="24">
        <v>30903.187155</v>
      </c>
      <c r="G14" s="24"/>
      <c r="H14" s="24"/>
      <c r="I14" s="24"/>
      <c r="J14" s="24"/>
      <c r="K14" s="24"/>
      <c r="L14" s="24"/>
      <c r="M14" s="24"/>
      <c r="N14" s="24"/>
      <c r="O14" s="24">
        <f>40125+263405+4661332+1076854.090466+2675</f>
        <v>6044391.0904660001</v>
      </c>
      <c r="P14" s="135">
        <f>SUM(D14:O14)</f>
        <v>6075294.2776210001</v>
      </c>
      <c r="Q14" s="65">
        <v>6075294.2776210001</v>
      </c>
    </row>
    <row r="15" spans="1:17" x14ac:dyDescent="0.2">
      <c r="A15" s="23">
        <v>2</v>
      </c>
      <c r="B15" s="17" t="s">
        <v>1</v>
      </c>
      <c r="C15" s="24"/>
      <c r="D15" s="24">
        <v>21000</v>
      </c>
      <c r="E15" s="24"/>
      <c r="F15" s="24">
        <f>5008.973633+10000+10000</f>
        <v>25008.973633000001</v>
      </c>
      <c r="G15" s="24"/>
      <c r="H15" s="24"/>
      <c r="I15" s="24"/>
      <c r="J15" s="24"/>
      <c r="K15" s="24"/>
      <c r="L15" s="24"/>
      <c r="M15" s="24"/>
      <c r="N15" s="24"/>
      <c r="O15" s="24">
        <f>89718.651019+269036.0274535</f>
        <v>358754.6784725</v>
      </c>
      <c r="P15" s="135">
        <f t="shared" ref="P15:P24" si="0">SUM(D15:O15)</f>
        <v>404763.65210549999</v>
      </c>
      <c r="Q15" s="65">
        <v>404763.65210549999</v>
      </c>
    </row>
    <row r="16" spans="1:17" s="120" customFormat="1" ht="22.5" x14ac:dyDescent="0.2">
      <c r="A16" s="121">
        <v>3</v>
      </c>
      <c r="B16" s="122" t="s">
        <v>2</v>
      </c>
      <c r="C16" s="124"/>
      <c r="D16" s="124"/>
      <c r="E16" s="124"/>
      <c r="F16" s="124"/>
      <c r="G16" s="124"/>
      <c r="H16" s="124"/>
      <c r="I16" s="124"/>
      <c r="J16" s="124"/>
      <c r="K16" s="124"/>
      <c r="L16" s="124"/>
      <c r="M16" s="124"/>
      <c r="N16" s="124"/>
      <c r="O16" s="124"/>
      <c r="P16" s="135">
        <f t="shared" si="0"/>
        <v>0</v>
      </c>
      <c r="Q16" s="65">
        <v>0</v>
      </c>
    </row>
    <row r="17" spans="1:18" x14ac:dyDescent="0.2">
      <c r="A17" s="23">
        <v>4</v>
      </c>
      <c r="B17" s="17" t="s">
        <v>3</v>
      </c>
      <c r="C17" s="24"/>
      <c r="D17" s="24">
        <f>25000+20000+10719.490005+421212.991831</f>
        <v>476932.48183599999</v>
      </c>
      <c r="E17" s="24">
        <f>64699.2229999999+13954.209521+7.427877+31951.386205+150000+150000</f>
        <v>410612.24660299992</v>
      </c>
      <c r="F17" s="24">
        <f>30000+40000+19495.585779+10000+369.04912+64993.94577</f>
        <v>164858.58066899999</v>
      </c>
      <c r="G17" s="24">
        <v>48245.203404</v>
      </c>
      <c r="H17" s="24"/>
      <c r="I17" s="24"/>
      <c r="J17" s="24"/>
      <c r="K17" s="24"/>
      <c r="L17" s="24"/>
      <c r="M17" s="24"/>
      <c r="N17" s="24"/>
      <c r="O17" s="24">
        <f>26.999307+15.783937+53114.909942+31.5334718+173312+100000</f>
        <v>326501.22665780003</v>
      </c>
      <c r="P17" s="135">
        <f>SUM(D17:O17)</f>
        <v>1427149.7391698002</v>
      </c>
      <c r="Q17" s="65">
        <v>1427149.7391697997</v>
      </c>
      <c r="R17" s="119"/>
    </row>
    <row r="18" spans="1:18" x14ac:dyDescent="0.2">
      <c r="A18" s="23">
        <v>5</v>
      </c>
      <c r="B18" s="17" t="s">
        <v>4</v>
      </c>
      <c r="C18" s="24"/>
      <c r="D18" s="24"/>
      <c r="E18" s="24"/>
      <c r="F18" s="24"/>
      <c r="G18" s="24"/>
      <c r="H18" s="24"/>
      <c r="I18" s="24"/>
      <c r="J18" s="24"/>
      <c r="K18" s="24"/>
      <c r="L18" s="24"/>
      <c r="M18" s="24"/>
      <c r="N18" s="24"/>
      <c r="O18" s="24">
        <f>238204.590127+28.360011</f>
        <v>238232.95013800001</v>
      </c>
      <c r="P18" s="135">
        <f t="shared" si="0"/>
        <v>238232.95013800001</v>
      </c>
      <c r="Q18" s="65">
        <v>238232.95013800001</v>
      </c>
    </row>
    <row r="19" spans="1:18" x14ac:dyDescent="0.2">
      <c r="A19" s="23">
        <v>6</v>
      </c>
      <c r="B19" s="17" t="s">
        <v>5</v>
      </c>
      <c r="C19" s="24"/>
      <c r="D19" s="24"/>
      <c r="E19" s="24"/>
      <c r="F19" s="24"/>
      <c r="G19" s="24"/>
      <c r="H19" s="24"/>
      <c r="I19" s="24"/>
      <c r="J19" s="24"/>
      <c r="K19" s="24"/>
      <c r="L19" s="24"/>
      <c r="M19" s="24"/>
      <c r="N19" s="24"/>
      <c r="O19" s="24">
        <f>8322.403919+129.8254418</f>
        <v>8452.2293608</v>
      </c>
      <c r="P19" s="135">
        <f t="shared" si="0"/>
        <v>8452.2293608</v>
      </c>
      <c r="Q19" s="65">
        <v>8452.2293608</v>
      </c>
    </row>
    <row r="20" spans="1:18" x14ac:dyDescent="0.2">
      <c r="A20" s="23">
        <v>7</v>
      </c>
      <c r="B20" s="17" t="s">
        <v>6</v>
      </c>
      <c r="C20" s="24"/>
      <c r="D20" s="24"/>
      <c r="E20" s="24"/>
      <c r="F20" s="24"/>
      <c r="G20" s="24"/>
      <c r="H20" s="24"/>
      <c r="I20" s="24"/>
      <c r="J20" s="24"/>
      <c r="K20" s="24"/>
      <c r="L20" s="24"/>
      <c r="M20" s="24"/>
      <c r="N20" s="24"/>
      <c r="O20" s="24">
        <f>9604132.947623+100.429409</f>
        <v>9604233.3770319987</v>
      </c>
      <c r="P20" s="135">
        <f t="shared" si="0"/>
        <v>9604233.3770319987</v>
      </c>
      <c r="Q20" s="65">
        <v>9604233.3770319987</v>
      </c>
    </row>
    <row r="21" spans="1:18" s="120" customFormat="1" ht="22.5" x14ac:dyDescent="0.2">
      <c r="A21" s="121">
        <v>8</v>
      </c>
      <c r="B21" s="122" t="s">
        <v>7</v>
      </c>
      <c r="C21" s="124"/>
      <c r="D21" s="124"/>
      <c r="E21" s="124"/>
      <c r="F21" s="124"/>
      <c r="G21" s="124"/>
      <c r="H21" s="124"/>
      <c r="I21" s="124"/>
      <c r="J21" s="124"/>
      <c r="K21" s="124"/>
      <c r="L21" s="124"/>
      <c r="M21" s="124"/>
      <c r="N21" s="124"/>
      <c r="O21" s="124">
        <f>918566.371532+111669.38948</f>
        <v>1030235.761012</v>
      </c>
      <c r="P21" s="136">
        <f t="shared" si="0"/>
        <v>1030235.761012</v>
      </c>
      <c r="Q21" s="65">
        <v>1030235.761012</v>
      </c>
    </row>
    <row r="22" spans="1:18" x14ac:dyDescent="0.2">
      <c r="A22" s="23">
        <v>9</v>
      </c>
      <c r="B22" s="17" t="s">
        <v>8</v>
      </c>
      <c r="C22" s="24"/>
      <c r="D22" s="24">
        <v>40000</v>
      </c>
      <c r="E22" s="24"/>
      <c r="F22" s="24">
        <v>35000</v>
      </c>
      <c r="G22" s="24"/>
      <c r="H22" s="24"/>
      <c r="I22" s="24"/>
      <c r="J22" s="24"/>
      <c r="K22" s="24"/>
      <c r="L22" s="24"/>
      <c r="M22" s="24"/>
      <c r="N22" s="24"/>
      <c r="O22" s="24">
        <f>1421523.029197+338093.3390376</f>
        <v>1759616.3682345999</v>
      </c>
      <c r="P22" s="135">
        <f t="shared" si="0"/>
        <v>1834616.3682345999</v>
      </c>
      <c r="Q22" s="65">
        <v>1834616.3682345999</v>
      </c>
      <c r="R22" s="65"/>
    </row>
    <row r="23" spans="1:18" x14ac:dyDescent="0.2">
      <c r="A23" s="23">
        <v>10</v>
      </c>
      <c r="B23" s="17" t="s">
        <v>9</v>
      </c>
      <c r="C23" s="24"/>
      <c r="D23" s="24"/>
      <c r="E23" s="24"/>
      <c r="F23" s="24"/>
      <c r="G23" s="24"/>
      <c r="H23" s="24"/>
      <c r="I23" s="24"/>
      <c r="J23" s="24"/>
      <c r="K23" s="24"/>
      <c r="L23" s="24"/>
      <c r="M23" s="24"/>
      <c r="N23" s="24"/>
      <c r="O23" s="24">
        <f>430274.640386+36103.4884075</f>
        <v>466378.12879350001</v>
      </c>
      <c r="P23" s="135">
        <f t="shared" si="0"/>
        <v>466378.12879350001</v>
      </c>
      <c r="Q23" s="65">
        <v>466378.12879350001</v>
      </c>
    </row>
    <row r="24" spans="1:18" x14ac:dyDescent="0.2">
      <c r="A24" s="23">
        <v>11</v>
      </c>
      <c r="B24" s="17" t="s">
        <v>10</v>
      </c>
      <c r="C24" s="24"/>
      <c r="D24" s="24"/>
      <c r="E24" s="24"/>
      <c r="F24" s="24"/>
      <c r="G24" s="24"/>
      <c r="H24" s="24"/>
      <c r="I24" s="24"/>
      <c r="J24" s="24"/>
      <c r="K24" s="24"/>
      <c r="L24" s="24"/>
      <c r="M24" s="24"/>
      <c r="N24" s="24"/>
      <c r="O24" s="24">
        <v>2250421.8545230003</v>
      </c>
      <c r="P24" s="135">
        <f t="shared" si="0"/>
        <v>2250421.8545230003</v>
      </c>
      <c r="Q24" s="65">
        <v>2250421.8545230003</v>
      </c>
    </row>
    <row r="25" spans="1:18" s="123" customFormat="1" x14ac:dyDescent="0.2">
      <c r="A25" s="10"/>
      <c r="B25" s="10" t="s">
        <v>97</v>
      </c>
      <c r="C25" s="125"/>
      <c r="D25" s="125">
        <f>SUM(D14:D24)</f>
        <v>537932.48183599999</v>
      </c>
      <c r="E25" s="125">
        <f t="shared" ref="E25:N25" si="1">SUM(E14:E24)</f>
        <v>410612.24660299992</v>
      </c>
      <c r="F25" s="125">
        <f>SUM(F14:F24)</f>
        <v>255770.741457</v>
      </c>
      <c r="G25" s="125">
        <f t="shared" si="1"/>
        <v>48245.203404</v>
      </c>
      <c r="H25" s="125">
        <f t="shared" si="1"/>
        <v>0</v>
      </c>
      <c r="I25" s="125">
        <f t="shared" si="1"/>
        <v>0</v>
      </c>
      <c r="J25" s="125">
        <f t="shared" si="1"/>
        <v>0</v>
      </c>
      <c r="K25" s="125">
        <f t="shared" si="1"/>
        <v>0</v>
      </c>
      <c r="L25" s="125">
        <f t="shared" si="1"/>
        <v>0</v>
      </c>
      <c r="M25" s="125">
        <f t="shared" si="1"/>
        <v>0</v>
      </c>
      <c r="N25" s="125">
        <f t="shared" si="1"/>
        <v>0</v>
      </c>
      <c r="O25" s="125">
        <f>SUM(O14:O24)</f>
        <v>22087217.6646902</v>
      </c>
      <c r="P25" s="26">
        <f>SUM(D25:O25)</f>
        <v>23339778.337990202</v>
      </c>
      <c r="Q25" s="119">
        <f>SUM(Q14:Q24)</f>
        <v>23339778.337990198</v>
      </c>
      <c r="R25" s="126"/>
    </row>
    <row r="28" spans="1:18" x14ac:dyDescent="0.2">
      <c r="B28" s="6" t="s">
        <v>236</v>
      </c>
    </row>
    <row r="29" spans="1:18" x14ac:dyDescent="0.2">
      <c r="B29" s="8" t="s">
        <v>237</v>
      </c>
    </row>
  </sheetData>
  <mergeCells count="8">
    <mergeCell ref="D4:P4"/>
    <mergeCell ref="B5:B12"/>
    <mergeCell ref="A5:A12"/>
    <mergeCell ref="O6:O12"/>
    <mergeCell ref="P6:P12"/>
    <mergeCell ref="K6:N6"/>
    <mergeCell ref="D6:J6"/>
    <mergeCell ref="D5:P5"/>
  </mergeCells>
  <pageMargins left="0.7" right="0.7" top="0.75" bottom="0.75" header="0.3" footer="0.3"/>
  <ignoredErrors>
    <ignoredError sqref="A13:P13"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workbookViewId="0">
      <selection activeCell="F14" sqref="F14"/>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9" width="13.5703125" customWidth="1"/>
    <col min="10" max="10" width="13.140625" bestFit="1" customWidth="1"/>
    <col min="12" max="12" width="14" customWidth="1"/>
    <col min="13" max="13" width="13.85546875" customWidth="1"/>
  </cols>
  <sheetData>
    <row r="1" spans="1:13" x14ac:dyDescent="0.25">
      <c r="A1" t="s">
        <v>146</v>
      </c>
      <c r="B1" t="s">
        <v>147</v>
      </c>
    </row>
    <row r="2" spans="1:13" x14ac:dyDescent="0.25">
      <c r="B2" s="114" t="s">
        <v>17</v>
      </c>
      <c r="C2" t="s">
        <v>148</v>
      </c>
    </row>
    <row r="3" spans="1:13" x14ac:dyDescent="0.25">
      <c r="C3" s="114" t="s">
        <v>149</v>
      </c>
      <c r="D3" t="s">
        <v>150</v>
      </c>
    </row>
    <row r="4" spans="1:13" x14ac:dyDescent="0.25">
      <c r="D4" t="s">
        <v>155</v>
      </c>
    </row>
    <row r="6" spans="1:13" x14ac:dyDescent="0.25">
      <c r="C6" s="114" t="s">
        <v>151</v>
      </c>
      <c r="D6" t="s">
        <v>152</v>
      </c>
    </row>
    <row r="7" spans="1:13" x14ac:dyDescent="0.25">
      <c r="D7" t="s">
        <v>155</v>
      </c>
    </row>
    <row r="9" spans="1:13" x14ac:dyDescent="0.25">
      <c r="C9" s="114" t="s">
        <v>153</v>
      </c>
      <c r="D9" t="s">
        <v>154</v>
      </c>
    </row>
    <row r="10" spans="1:13" s="115" customFormat="1" x14ac:dyDescent="0.25">
      <c r="D10" s="277" t="s">
        <v>18</v>
      </c>
      <c r="E10" s="277" t="s">
        <v>19</v>
      </c>
      <c r="F10" s="279" t="s">
        <v>245</v>
      </c>
      <c r="G10" s="279"/>
      <c r="H10" s="279"/>
      <c r="I10" s="279"/>
      <c r="J10" s="279" t="s">
        <v>243</v>
      </c>
      <c r="K10" s="279"/>
      <c r="L10" s="279"/>
      <c r="M10" s="279"/>
    </row>
    <row r="11" spans="1:13" s="115" customFormat="1" ht="28.5" customHeight="1" x14ac:dyDescent="0.25">
      <c r="D11" s="278"/>
      <c r="E11" s="278"/>
      <c r="F11" s="116" t="s">
        <v>59</v>
      </c>
      <c r="G11" s="116" t="s">
        <v>156</v>
      </c>
      <c r="H11" s="118" t="s">
        <v>157</v>
      </c>
      <c r="I11" s="118" t="s">
        <v>158</v>
      </c>
      <c r="J11" s="116" t="s">
        <v>59</v>
      </c>
      <c r="K11" s="116" t="s">
        <v>156</v>
      </c>
      <c r="L11" s="118" t="s">
        <v>157</v>
      </c>
      <c r="M11" s="118" t="s">
        <v>158</v>
      </c>
    </row>
    <row r="12" spans="1:13" s="43" customFormat="1" ht="14.45" customHeight="1" x14ac:dyDescent="0.25">
      <c r="D12" s="7" t="s">
        <v>17</v>
      </c>
      <c r="E12" s="7" t="s">
        <v>22</v>
      </c>
      <c r="F12" s="7" t="s">
        <v>28</v>
      </c>
      <c r="G12" s="7" t="s">
        <v>29</v>
      </c>
      <c r="H12" s="7" t="s">
        <v>30</v>
      </c>
      <c r="I12" s="7" t="s">
        <v>31</v>
      </c>
      <c r="J12" s="7" t="s">
        <v>28</v>
      </c>
      <c r="K12" s="7" t="s">
        <v>29</v>
      </c>
      <c r="L12" s="7" t="s">
        <v>30</v>
      </c>
      <c r="M12" s="7" t="s">
        <v>31</v>
      </c>
    </row>
    <row r="13" spans="1:13" x14ac:dyDescent="0.25">
      <c r="D13" s="16"/>
      <c r="E13" s="16"/>
      <c r="F13" s="16"/>
      <c r="G13" s="16"/>
      <c r="H13" s="16"/>
      <c r="I13" s="16"/>
      <c r="J13" s="16"/>
      <c r="K13" s="16"/>
      <c r="L13" s="16"/>
      <c r="M13" s="16"/>
    </row>
    <row r="14" spans="1:13" x14ac:dyDescent="0.25">
      <c r="D14" s="16">
        <v>1</v>
      </c>
      <c r="E14" s="17" t="s">
        <v>0</v>
      </c>
      <c r="F14" s="24">
        <v>527192.259968</v>
      </c>
      <c r="G14" s="24">
        <v>0</v>
      </c>
      <c r="H14" s="24">
        <f>F14-G14</f>
        <v>527192.259968</v>
      </c>
      <c r="I14" s="165">
        <f>H14*0%</f>
        <v>0</v>
      </c>
      <c r="J14" s="24">
        <v>478576.9</v>
      </c>
      <c r="K14" s="24">
        <v>0</v>
      </c>
      <c r="L14" s="24">
        <f>J14-K14</f>
        <v>478576.9</v>
      </c>
      <c r="M14" s="165">
        <f>L14*0%</f>
        <v>0</v>
      </c>
    </row>
    <row r="15" spans="1:13" x14ac:dyDescent="0.25">
      <c r="D15" s="16">
        <v>2</v>
      </c>
      <c r="E15" s="17" t="s">
        <v>1</v>
      </c>
      <c r="F15" s="24">
        <v>0</v>
      </c>
      <c r="G15" s="24">
        <v>0</v>
      </c>
      <c r="H15" s="24">
        <v>0</v>
      </c>
      <c r="I15" s="24">
        <v>0</v>
      </c>
      <c r="J15" s="24">
        <v>0</v>
      </c>
      <c r="K15" s="24">
        <v>0</v>
      </c>
      <c r="L15" s="24">
        <v>0</v>
      </c>
      <c r="M15" s="24">
        <v>0</v>
      </c>
    </row>
    <row r="16" spans="1:13" x14ac:dyDescent="0.25">
      <c r="D16" s="16">
        <v>3</v>
      </c>
      <c r="E16" s="17" t="s">
        <v>2</v>
      </c>
      <c r="F16" s="24">
        <v>0</v>
      </c>
      <c r="G16" s="24">
        <v>0</v>
      </c>
      <c r="H16" s="24">
        <v>0</v>
      </c>
      <c r="I16" s="24">
        <v>0</v>
      </c>
      <c r="J16" s="24">
        <v>0</v>
      </c>
      <c r="K16" s="24">
        <v>0</v>
      </c>
      <c r="L16" s="24">
        <v>0</v>
      </c>
      <c r="M16" s="24">
        <v>0</v>
      </c>
    </row>
    <row r="17" spans="2:13" x14ac:dyDescent="0.25">
      <c r="D17" s="16">
        <v>4</v>
      </c>
      <c r="E17" s="17" t="s">
        <v>3</v>
      </c>
      <c r="F17" s="24">
        <v>0</v>
      </c>
      <c r="G17" s="24">
        <v>0</v>
      </c>
      <c r="H17" s="24">
        <v>0</v>
      </c>
      <c r="I17" s="24">
        <v>0</v>
      </c>
      <c r="J17" s="24">
        <v>0</v>
      </c>
      <c r="K17" s="24">
        <v>0</v>
      </c>
      <c r="L17" s="24">
        <v>0</v>
      </c>
      <c r="M17" s="24">
        <v>0</v>
      </c>
    </row>
    <row r="18" spans="2:13" x14ac:dyDescent="0.25">
      <c r="D18" s="16">
        <v>5</v>
      </c>
      <c r="E18" s="17" t="s">
        <v>7</v>
      </c>
      <c r="F18" s="24">
        <v>0</v>
      </c>
      <c r="G18" s="24">
        <v>0</v>
      </c>
      <c r="H18" s="24">
        <v>0</v>
      </c>
      <c r="I18" s="24">
        <v>0</v>
      </c>
      <c r="J18" s="24">
        <v>0</v>
      </c>
      <c r="K18" s="24">
        <v>0</v>
      </c>
      <c r="L18" s="24">
        <v>0</v>
      </c>
      <c r="M18" s="24">
        <v>0</v>
      </c>
    </row>
    <row r="19" spans="2:13" x14ac:dyDescent="0.25">
      <c r="D19" s="16">
        <v>6</v>
      </c>
      <c r="E19" s="17" t="s">
        <v>8</v>
      </c>
      <c r="F19" s="24">
        <v>0</v>
      </c>
      <c r="G19" s="24">
        <v>0</v>
      </c>
      <c r="H19" s="24">
        <v>0</v>
      </c>
      <c r="I19" s="24">
        <v>0</v>
      </c>
      <c r="J19" s="24">
        <v>0</v>
      </c>
      <c r="K19" s="24">
        <v>0</v>
      </c>
      <c r="L19" s="24">
        <v>0</v>
      </c>
      <c r="M19" s="24">
        <v>0</v>
      </c>
    </row>
    <row r="20" spans="2:13" x14ac:dyDescent="0.25">
      <c r="D20" s="16"/>
      <c r="E20" s="16"/>
      <c r="F20" s="24"/>
      <c r="G20" s="24"/>
      <c r="H20" s="24"/>
      <c r="I20" s="24"/>
      <c r="J20" s="24"/>
      <c r="K20" s="24"/>
      <c r="L20" s="24"/>
      <c r="M20" s="24"/>
    </row>
    <row r="21" spans="2:13" x14ac:dyDescent="0.25">
      <c r="D21" s="116"/>
      <c r="E21" s="116" t="s">
        <v>97</v>
      </c>
      <c r="F21" s="117">
        <f>SUM(F14:F20)</f>
        <v>527192.259968</v>
      </c>
      <c r="G21" s="117">
        <f t="shared" ref="G21:I21" si="0">SUM(G14:G20)</f>
        <v>0</v>
      </c>
      <c r="H21" s="117">
        <f t="shared" si="0"/>
        <v>527192.259968</v>
      </c>
      <c r="I21" s="166">
        <f t="shared" si="0"/>
        <v>0</v>
      </c>
      <c r="J21" s="117">
        <f>SUM(J14:J20)</f>
        <v>478576.9</v>
      </c>
      <c r="K21" s="117">
        <f t="shared" ref="K21:M21" si="1">SUM(K14:K20)</f>
        <v>0</v>
      </c>
      <c r="L21" s="117">
        <f t="shared" si="1"/>
        <v>478576.9</v>
      </c>
      <c r="M21" s="166">
        <f t="shared" si="1"/>
        <v>0</v>
      </c>
    </row>
    <row r="24" spans="2:13" x14ac:dyDescent="0.25">
      <c r="B24" s="157" t="s">
        <v>236</v>
      </c>
      <c r="C24" s="157"/>
    </row>
    <row r="25" spans="2:13" x14ac:dyDescent="0.25">
      <c r="B25" s="158" t="s">
        <v>241</v>
      </c>
      <c r="C25" s="157"/>
    </row>
  </sheetData>
  <mergeCells count="4">
    <mergeCell ref="D10:D11"/>
    <mergeCell ref="E10:E11"/>
    <mergeCell ref="F10:I10"/>
    <mergeCell ref="J10:M10"/>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workbookViewId="0">
      <selection activeCell="G29" sqref="G29"/>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9" width="13.5703125" customWidth="1"/>
    <col min="10" max="10" width="13.140625" bestFit="1" customWidth="1"/>
    <col min="12" max="12" width="14" customWidth="1"/>
    <col min="13" max="13" width="13.85546875" customWidth="1"/>
  </cols>
  <sheetData>
    <row r="1" spans="1:13" x14ac:dyDescent="0.25">
      <c r="A1" t="s">
        <v>146</v>
      </c>
      <c r="B1" t="s">
        <v>147</v>
      </c>
    </row>
    <row r="2" spans="1:13" x14ac:dyDescent="0.25">
      <c r="B2" s="114" t="s">
        <v>17</v>
      </c>
      <c r="C2" t="s">
        <v>148</v>
      </c>
    </row>
    <row r="3" spans="1:13" x14ac:dyDescent="0.25">
      <c r="C3" s="114" t="s">
        <v>149</v>
      </c>
      <c r="D3" t="s">
        <v>150</v>
      </c>
    </row>
    <row r="4" spans="1:13" x14ac:dyDescent="0.25">
      <c r="D4" t="s">
        <v>155</v>
      </c>
    </row>
    <row r="6" spans="1:13" x14ac:dyDescent="0.25">
      <c r="C6" s="114" t="s">
        <v>151</v>
      </c>
      <c r="D6" t="s">
        <v>152</v>
      </c>
    </row>
    <row r="7" spans="1:13" x14ac:dyDescent="0.25">
      <c r="D7" t="s">
        <v>155</v>
      </c>
    </row>
    <row r="9" spans="1:13" x14ac:dyDescent="0.25">
      <c r="C9" s="114" t="s">
        <v>153</v>
      </c>
      <c r="D9" t="s">
        <v>154</v>
      </c>
    </row>
    <row r="10" spans="1:13" s="115" customFormat="1" x14ac:dyDescent="0.25">
      <c r="D10" s="277" t="s">
        <v>18</v>
      </c>
      <c r="E10" s="277" t="s">
        <v>19</v>
      </c>
      <c r="F10" s="279" t="s">
        <v>243</v>
      </c>
      <c r="G10" s="279"/>
      <c r="H10" s="279"/>
      <c r="I10" s="279"/>
      <c r="J10" s="279" t="s">
        <v>58</v>
      </c>
      <c r="K10" s="279"/>
      <c r="L10" s="279"/>
      <c r="M10" s="279"/>
    </row>
    <row r="11" spans="1:13" s="115" customFormat="1" ht="28.5" customHeight="1" x14ac:dyDescent="0.25">
      <c r="D11" s="278"/>
      <c r="E11" s="278"/>
      <c r="F11" s="116" t="s">
        <v>59</v>
      </c>
      <c r="G11" s="116" t="s">
        <v>156</v>
      </c>
      <c r="H11" s="118" t="s">
        <v>157</v>
      </c>
      <c r="I11" s="118" t="s">
        <v>158</v>
      </c>
      <c r="J11" s="116" t="s">
        <v>59</v>
      </c>
      <c r="K11" s="116" t="s">
        <v>156</v>
      </c>
      <c r="L11" s="118" t="s">
        <v>157</v>
      </c>
      <c r="M11" s="118" t="s">
        <v>158</v>
      </c>
    </row>
    <row r="12" spans="1:13" s="43" customFormat="1" ht="14.45" customHeight="1" x14ac:dyDescent="0.25">
      <c r="D12" s="7" t="s">
        <v>17</v>
      </c>
      <c r="E12" s="7" t="s">
        <v>22</v>
      </c>
      <c r="F12" s="7" t="s">
        <v>28</v>
      </c>
      <c r="G12" s="7" t="s">
        <v>29</v>
      </c>
      <c r="H12" s="7" t="s">
        <v>30</v>
      </c>
      <c r="I12" s="7" t="s">
        <v>31</v>
      </c>
      <c r="J12" s="7" t="s">
        <v>28</v>
      </c>
      <c r="K12" s="7" t="s">
        <v>29</v>
      </c>
      <c r="L12" s="7" t="s">
        <v>30</v>
      </c>
      <c r="M12" s="7" t="s">
        <v>31</v>
      </c>
    </row>
    <row r="13" spans="1:13" x14ac:dyDescent="0.25">
      <c r="D13" s="16"/>
      <c r="E13" s="16"/>
      <c r="F13" s="16"/>
      <c r="G13" s="16"/>
      <c r="H13" s="16"/>
      <c r="I13" s="16"/>
      <c r="J13" s="16"/>
      <c r="K13" s="16"/>
      <c r="L13" s="16"/>
      <c r="M13" s="16"/>
    </row>
    <row r="14" spans="1:13" x14ac:dyDescent="0.25">
      <c r="D14" s="16">
        <v>1</v>
      </c>
      <c r="E14" s="17" t="s">
        <v>0</v>
      </c>
      <c r="F14" s="24">
        <v>478576.9</v>
      </c>
      <c r="G14" s="24">
        <v>0</v>
      </c>
      <c r="H14" s="24">
        <f>F14-G14</f>
        <v>478576.9</v>
      </c>
      <c r="I14" s="165">
        <f>H14*0%</f>
        <v>0</v>
      </c>
      <c r="J14" s="24">
        <v>290969.09999999998</v>
      </c>
      <c r="K14" s="24">
        <v>0</v>
      </c>
      <c r="L14" s="24">
        <f>J14-K14</f>
        <v>290969.09999999998</v>
      </c>
      <c r="M14" s="165">
        <f>L14*0%</f>
        <v>0</v>
      </c>
    </row>
    <row r="15" spans="1:13" x14ac:dyDescent="0.25">
      <c r="D15" s="16">
        <v>2</v>
      </c>
      <c r="E15" s="17" t="s">
        <v>1</v>
      </c>
      <c r="F15" s="24">
        <v>0</v>
      </c>
      <c r="G15" s="24">
        <v>0</v>
      </c>
      <c r="H15" s="24">
        <v>0</v>
      </c>
      <c r="I15" s="24">
        <v>0</v>
      </c>
      <c r="J15" s="24">
        <v>0</v>
      </c>
      <c r="K15" s="24">
        <v>0</v>
      </c>
      <c r="L15" s="24">
        <v>0</v>
      </c>
      <c r="M15" s="24">
        <v>0</v>
      </c>
    </row>
    <row r="16" spans="1:13" x14ac:dyDescent="0.25">
      <c r="D16" s="16">
        <v>3</v>
      </c>
      <c r="E16" s="17" t="s">
        <v>2</v>
      </c>
      <c r="F16" s="24">
        <v>0</v>
      </c>
      <c r="G16" s="24">
        <v>0</v>
      </c>
      <c r="H16" s="24">
        <v>0</v>
      </c>
      <c r="I16" s="24">
        <v>0</v>
      </c>
      <c r="J16" s="24">
        <v>0</v>
      </c>
      <c r="K16" s="24">
        <v>0</v>
      </c>
      <c r="L16" s="24">
        <v>0</v>
      </c>
      <c r="M16" s="24">
        <v>0</v>
      </c>
    </row>
    <row r="17" spans="2:13" x14ac:dyDescent="0.25">
      <c r="D17" s="16">
        <v>4</v>
      </c>
      <c r="E17" s="17" t="s">
        <v>3</v>
      </c>
      <c r="F17" s="24">
        <v>0</v>
      </c>
      <c r="G17" s="24">
        <v>0</v>
      </c>
      <c r="H17" s="24">
        <v>0</v>
      </c>
      <c r="I17" s="24">
        <v>0</v>
      </c>
      <c r="J17" s="24">
        <v>0</v>
      </c>
      <c r="K17" s="24">
        <v>0</v>
      </c>
      <c r="L17" s="24">
        <v>0</v>
      </c>
      <c r="M17" s="24">
        <v>0</v>
      </c>
    </row>
    <row r="18" spans="2:13" x14ac:dyDescent="0.25">
      <c r="D18" s="16">
        <v>5</v>
      </c>
      <c r="E18" s="17" t="s">
        <v>7</v>
      </c>
      <c r="F18" s="24">
        <v>0</v>
      </c>
      <c r="G18" s="24">
        <v>0</v>
      </c>
      <c r="H18" s="24">
        <v>0</v>
      </c>
      <c r="I18" s="24">
        <v>0</v>
      </c>
      <c r="J18" s="24">
        <v>0</v>
      </c>
      <c r="K18" s="24">
        <v>0</v>
      </c>
      <c r="L18" s="24">
        <v>0</v>
      </c>
      <c r="M18" s="24">
        <v>0</v>
      </c>
    </row>
    <row r="19" spans="2:13" x14ac:dyDescent="0.25">
      <c r="D19" s="16">
        <v>6</v>
      </c>
      <c r="E19" s="17" t="s">
        <v>8</v>
      </c>
      <c r="F19" s="24">
        <v>0</v>
      </c>
      <c r="G19" s="24">
        <v>0</v>
      </c>
      <c r="H19" s="24">
        <v>0</v>
      </c>
      <c r="I19" s="24">
        <v>0</v>
      </c>
      <c r="J19" s="24">
        <v>0</v>
      </c>
      <c r="K19" s="24">
        <v>0</v>
      </c>
      <c r="L19" s="24">
        <v>0</v>
      </c>
      <c r="M19" s="24">
        <v>0</v>
      </c>
    </row>
    <row r="20" spans="2:13" x14ac:dyDescent="0.25">
      <c r="D20" s="16"/>
      <c r="E20" s="16"/>
      <c r="F20" s="24"/>
      <c r="G20" s="24"/>
      <c r="H20" s="24"/>
      <c r="I20" s="24"/>
      <c r="J20" s="24"/>
      <c r="K20" s="24"/>
      <c r="L20" s="24"/>
      <c r="M20" s="24"/>
    </row>
    <row r="21" spans="2:13" x14ac:dyDescent="0.25">
      <c r="D21" s="116"/>
      <c r="E21" s="116" t="s">
        <v>97</v>
      </c>
      <c r="F21" s="117">
        <f>SUM(F14:F20)</f>
        <v>478576.9</v>
      </c>
      <c r="G21" s="117">
        <f t="shared" ref="G21:I21" si="0">SUM(G14:G20)</f>
        <v>0</v>
      </c>
      <c r="H21" s="117">
        <f t="shared" si="0"/>
        <v>478576.9</v>
      </c>
      <c r="I21" s="166">
        <f t="shared" si="0"/>
        <v>0</v>
      </c>
      <c r="J21" s="117">
        <f>SUM(J14:J20)</f>
        <v>290969.09999999998</v>
      </c>
      <c r="K21" s="117">
        <f t="shared" ref="K21:M21" si="1">SUM(K14:K20)</f>
        <v>0</v>
      </c>
      <c r="L21" s="117">
        <f t="shared" si="1"/>
        <v>290969.09999999998</v>
      </c>
      <c r="M21" s="166">
        <f t="shared" si="1"/>
        <v>0</v>
      </c>
    </row>
    <row r="24" spans="2:13" x14ac:dyDescent="0.25">
      <c r="B24" s="157" t="s">
        <v>236</v>
      </c>
      <c r="C24" s="157"/>
    </row>
    <row r="25" spans="2:13" x14ac:dyDescent="0.25">
      <c r="B25" s="158" t="s">
        <v>241</v>
      </c>
      <c r="C25" s="157"/>
    </row>
  </sheetData>
  <mergeCells count="4">
    <mergeCell ref="D10:D11"/>
    <mergeCell ref="E10:E11"/>
    <mergeCell ref="F10:I10"/>
    <mergeCell ref="J10:M10"/>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election activeCell="E10" sqref="E10"/>
    </sheetView>
  </sheetViews>
  <sheetFormatPr defaultColWidth="8.7109375" defaultRowHeight="11.25" x14ac:dyDescent="0.2"/>
  <cols>
    <col min="1" max="1" width="2.85546875" style="6" bestFit="1" customWidth="1"/>
    <col min="2" max="2" width="2.5703125" style="6" customWidth="1"/>
    <col min="3" max="3" width="3.42578125" style="22" customWidth="1"/>
    <col min="4" max="4" width="49.140625" style="6" bestFit="1" customWidth="1"/>
    <col min="5" max="14" width="9.140625" style="6" customWidth="1"/>
    <col min="15" max="16384" width="8.7109375" style="6"/>
  </cols>
  <sheetData>
    <row r="1" spans="1:16" x14ac:dyDescent="0.2">
      <c r="A1" s="6" t="s">
        <v>12</v>
      </c>
      <c r="B1" s="6" t="s">
        <v>13</v>
      </c>
    </row>
    <row r="2" spans="1:16" x14ac:dyDescent="0.2">
      <c r="B2" s="6" t="s">
        <v>14</v>
      </c>
      <c r="C2" s="100" t="s">
        <v>15</v>
      </c>
    </row>
    <row r="3" spans="1:16" x14ac:dyDescent="0.2">
      <c r="C3" s="3" t="s">
        <v>17</v>
      </c>
      <c r="D3" s="6" t="s">
        <v>16</v>
      </c>
      <c r="P3" s="19" t="s">
        <v>57</v>
      </c>
    </row>
    <row r="4" spans="1:16" x14ac:dyDescent="0.2">
      <c r="O4" s="137" t="s">
        <v>27</v>
      </c>
      <c r="P4" s="138">
        <v>0.08</v>
      </c>
    </row>
    <row r="5" spans="1:16" s="20" customFormat="1" ht="14.45" customHeight="1" x14ac:dyDescent="0.25">
      <c r="C5" s="281" t="s">
        <v>18</v>
      </c>
      <c r="D5" s="281" t="s">
        <v>19</v>
      </c>
      <c r="E5" s="274" t="s">
        <v>23</v>
      </c>
      <c r="F5" s="274"/>
      <c r="G5" s="274"/>
      <c r="H5" s="274"/>
      <c r="I5" s="274"/>
      <c r="J5" s="274"/>
      <c r="K5" s="274"/>
      <c r="L5" s="274"/>
      <c r="M5" s="274"/>
      <c r="N5" s="274"/>
      <c r="O5" s="281" t="s">
        <v>26</v>
      </c>
      <c r="P5" s="280" t="s">
        <v>27</v>
      </c>
    </row>
    <row r="6" spans="1:16" s="20" customFormat="1" x14ac:dyDescent="0.25">
      <c r="C6" s="281"/>
      <c r="D6" s="281"/>
      <c r="E6" s="281" t="s">
        <v>24</v>
      </c>
      <c r="F6" s="281"/>
      <c r="G6" s="281"/>
      <c r="H6" s="281"/>
      <c r="I6" s="281"/>
      <c r="J6" s="281"/>
      <c r="K6" s="281"/>
      <c r="L6" s="281"/>
      <c r="M6" s="281"/>
      <c r="N6" s="281"/>
      <c r="O6" s="281"/>
      <c r="P6" s="280"/>
    </row>
    <row r="7" spans="1:16" s="21" customFormat="1" x14ac:dyDescent="0.25">
      <c r="C7" s="281"/>
      <c r="D7" s="281"/>
      <c r="E7" s="101">
        <v>0</v>
      </c>
      <c r="F7" s="101">
        <v>0.2</v>
      </c>
      <c r="G7" s="101">
        <v>0.35</v>
      </c>
      <c r="H7" s="101">
        <v>0.4</v>
      </c>
      <c r="I7" s="101">
        <v>0.45</v>
      </c>
      <c r="J7" s="101">
        <v>0.5</v>
      </c>
      <c r="K7" s="101">
        <v>0.75</v>
      </c>
      <c r="L7" s="101">
        <v>1</v>
      </c>
      <c r="M7" s="101">
        <v>1.5</v>
      </c>
      <c r="N7" s="102" t="s">
        <v>25</v>
      </c>
      <c r="O7" s="281"/>
      <c r="P7" s="280"/>
    </row>
    <row r="8" spans="1:16" s="11" customFormat="1" ht="12" customHeight="1" x14ac:dyDescent="0.25">
      <c r="C8" s="7" t="s">
        <v>17</v>
      </c>
      <c r="D8" s="7" t="s">
        <v>22</v>
      </c>
      <c r="E8" s="7" t="s">
        <v>28</v>
      </c>
      <c r="F8" s="7" t="s">
        <v>29</v>
      </c>
      <c r="G8" s="7" t="s">
        <v>30</v>
      </c>
      <c r="H8" s="7" t="s">
        <v>31</v>
      </c>
      <c r="I8" s="7" t="s">
        <v>32</v>
      </c>
      <c r="J8" s="7" t="s">
        <v>33</v>
      </c>
      <c r="K8" s="7" t="s">
        <v>34</v>
      </c>
      <c r="L8" s="7" t="s">
        <v>35</v>
      </c>
      <c r="M8" s="7" t="s">
        <v>36</v>
      </c>
      <c r="N8" s="7" t="s">
        <v>37</v>
      </c>
      <c r="O8" s="7" t="s">
        <v>38</v>
      </c>
      <c r="P8" s="7" t="s">
        <v>39</v>
      </c>
    </row>
    <row r="9" spans="1:16" s="13" customFormat="1" x14ac:dyDescent="0.2">
      <c r="C9" s="14" t="s">
        <v>20</v>
      </c>
      <c r="D9" s="15" t="s">
        <v>21</v>
      </c>
      <c r="E9" s="25"/>
      <c r="F9" s="25"/>
      <c r="G9" s="25"/>
      <c r="H9" s="25"/>
      <c r="I9" s="25"/>
      <c r="J9" s="25"/>
      <c r="K9" s="25"/>
      <c r="L9" s="25"/>
      <c r="M9" s="25"/>
      <c r="N9" s="25"/>
      <c r="O9" s="25"/>
      <c r="P9" s="25"/>
    </row>
    <row r="10" spans="1:16" x14ac:dyDescent="0.2">
      <c r="C10" s="23">
        <v>1</v>
      </c>
      <c r="D10" s="17" t="s">
        <v>0</v>
      </c>
      <c r="E10" s="24">
        <v>5809214.2776210001</v>
      </c>
      <c r="F10" s="24">
        <v>0</v>
      </c>
      <c r="G10" s="24">
        <v>0</v>
      </c>
      <c r="H10" s="24">
        <v>0</v>
      </c>
      <c r="I10" s="24">
        <v>0</v>
      </c>
      <c r="J10" s="24">
        <v>0</v>
      </c>
      <c r="K10" s="24">
        <v>0</v>
      </c>
      <c r="L10" s="24">
        <v>0</v>
      </c>
      <c r="M10" s="24">
        <v>0</v>
      </c>
      <c r="N10" s="24">
        <v>0</v>
      </c>
      <c r="O10" s="24">
        <f>E10*E7</f>
        <v>0</v>
      </c>
      <c r="P10" s="24">
        <f>O10*$P$4</f>
        <v>0</v>
      </c>
    </row>
    <row r="11" spans="1:16" x14ac:dyDescent="0.2">
      <c r="C11" s="23">
        <v>2</v>
      </c>
      <c r="D11" s="17" t="s">
        <v>1</v>
      </c>
      <c r="E11" s="24">
        <v>89513.651018999997</v>
      </c>
      <c r="F11" s="24">
        <v>21000</v>
      </c>
      <c r="G11" s="24">
        <v>0</v>
      </c>
      <c r="H11" s="24">
        <v>0</v>
      </c>
      <c r="I11" s="24">
        <v>0</v>
      </c>
      <c r="J11" s="24">
        <f>+(25008.973633+205)</f>
        <v>25213.973633000001</v>
      </c>
      <c r="K11" s="24">
        <v>0</v>
      </c>
      <c r="L11" s="24">
        <v>0</v>
      </c>
      <c r="M11" s="24">
        <v>0</v>
      </c>
      <c r="N11" s="24">
        <v>0</v>
      </c>
      <c r="O11" s="24">
        <f>($E$7*E11)+($F$7*F11)+($G$7*G11)+($H$7*H11)+($I$7*I11)+($J$7*J11)+($K$7*K11)+($L$7*L11)+($M$7*M11)</f>
        <v>16806.986816500001</v>
      </c>
      <c r="P11" s="24">
        <f>O11*$P$4</f>
        <v>1344.55894532</v>
      </c>
    </row>
    <row r="12" spans="1:16" x14ac:dyDescent="0.2">
      <c r="C12" s="23">
        <v>3</v>
      </c>
      <c r="D12" s="17" t="s">
        <v>2</v>
      </c>
      <c r="E12" s="24">
        <v>0</v>
      </c>
      <c r="F12" s="24">
        <v>0</v>
      </c>
      <c r="G12" s="24">
        <v>0</v>
      </c>
      <c r="H12" s="24">
        <v>0</v>
      </c>
      <c r="I12" s="24">
        <v>0</v>
      </c>
      <c r="J12" s="24">
        <v>0</v>
      </c>
      <c r="K12" s="24">
        <v>0</v>
      </c>
      <c r="L12" s="24">
        <v>0</v>
      </c>
      <c r="M12" s="24">
        <v>0</v>
      </c>
      <c r="N12" s="24">
        <v>0</v>
      </c>
      <c r="O12" s="24">
        <f t="shared" ref="O12:O20" si="0">($E$7*E12)+($F$7*F12)+($G$7*G12)+($H$7*H12)+($I$7*I12)+($J$7*J12)+($K$7*K12)+($L$7*L12)+($M$7*M12)</f>
        <v>0</v>
      </c>
      <c r="P12" s="24">
        <f t="shared" ref="P12:P20" si="1">O12*$P$4</f>
        <v>0</v>
      </c>
    </row>
    <row r="13" spans="1:16" x14ac:dyDescent="0.2">
      <c r="C13" s="23">
        <v>4</v>
      </c>
      <c r="D13" s="17" t="s">
        <v>3</v>
      </c>
      <c r="E13" s="24">
        <v>0</v>
      </c>
      <c r="F13" s="24">
        <f>877499.494212+326463.689845+123653.432521</f>
        <v>1327616.6165780001</v>
      </c>
      <c r="G13" s="24">
        <v>0</v>
      </c>
      <c r="H13" s="24">
        <v>0</v>
      </c>
      <c r="I13" s="24">
        <v>0</v>
      </c>
      <c r="J13" s="24">
        <f>99495.585779+6.003341</f>
        <v>99501.589120000004</v>
      </c>
      <c r="K13" s="24">
        <v>0</v>
      </c>
      <c r="L13" s="24">
        <v>0</v>
      </c>
      <c r="M13" s="24">
        <v>0</v>
      </c>
      <c r="N13" s="24">
        <v>0</v>
      </c>
      <c r="O13" s="24">
        <f>($E$7*E13)+($F$7*F13)+($G$7*G13)+($H$7*H13)+($I$7*I13)+($J$7*J13)+($K$7*K13)+($L$7*L13)+($M$7*M13)</f>
        <v>315274.11787560006</v>
      </c>
      <c r="P13" s="24">
        <f t="shared" si="1"/>
        <v>25221.929430048007</v>
      </c>
    </row>
    <row r="14" spans="1:16" x14ac:dyDescent="0.2">
      <c r="C14" s="23">
        <v>5</v>
      </c>
      <c r="D14" s="17" t="s">
        <v>4</v>
      </c>
      <c r="E14" s="24">
        <v>0</v>
      </c>
      <c r="F14" s="24">
        <v>0</v>
      </c>
      <c r="G14" s="24">
        <v>238204.590127</v>
      </c>
      <c r="H14" s="24">
        <v>0</v>
      </c>
      <c r="I14" s="24">
        <v>0</v>
      </c>
      <c r="J14" s="24">
        <v>0</v>
      </c>
      <c r="K14" s="24">
        <v>0</v>
      </c>
      <c r="L14" s="24">
        <v>0</v>
      </c>
      <c r="M14" s="24">
        <v>0</v>
      </c>
      <c r="N14" s="24">
        <v>0</v>
      </c>
      <c r="O14" s="24">
        <f t="shared" si="0"/>
        <v>83371.606544449998</v>
      </c>
      <c r="P14" s="24">
        <f t="shared" si="1"/>
        <v>6669.7285235560003</v>
      </c>
    </row>
    <row r="15" spans="1:16" x14ac:dyDescent="0.2">
      <c r="C15" s="23">
        <v>6</v>
      </c>
      <c r="D15" s="17" t="s">
        <v>5</v>
      </c>
      <c r="E15" s="24">
        <v>0</v>
      </c>
      <c r="F15" s="24">
        <v>0</v>
      </c>
      <c r="G15" s="24">
        <v>0</v>
      </c>
      <c r="H15" s="24">
        <v>0</v>
      </c>
      <c r="I15" s="24">
        <v>0</v>
      </c>
      <c r="J15" s="24">
        <v>0</v>
      </c>
      <c r="K15" s="24">
        <v>0</v>
      </c>
      <c r="L15" s="24">
        <v>8322.4039190000003</v>
      </c>
      <c r="M15" s="24">
        <v>0</v>
      </c>
      <c r="N15" s="24">
        <v>0</v>
      </c>
      <c r="O15" s="24">
        <f t="shared" si="0"/>
        <v>8322.4039190000003</v>
      </c>
      <c r="P15" s="24">
        <f t="shared" si="1"/>
        <v>665.79231351999999</v>
      </c>
    </row>
    <row r="16" spans="1:16" x14ac:dyDescent="0.2">
      <c r="C16" s="23">
        <v>7</v>
      </c>
      <c r="D16" s="17" t="s">
        <v>6</v>
      </c>
      <c r="E16" s="24">
        <v>735.02807199999995</v>
      </c>
      <c r="F16" s="24">
        <v>0</v>
      </c>
      <c r="G16" s="24">
        <v>0</v>
      </c>
      <c r="H16" s="24">
        <v>0</v>
      </c>
      <c r="I16" s="24">
        <v>0</v>
      </c>
      <c r="J16" s="24">
        <v>9603397.919551</v>
      </c>
      <c r="K16" s="24">
        <v>0</v>
      </c>
      <c r="L16" s="24">
        <v>0</v>
      </c>
      <c r="M16" s="24">
        <v>0</v>
      </c>
      <c r="N16" s="24">
        <v>0</v>
      </c>
      <c r="O16" s="24">
        <f t="shared" si="0"/>
        <v>4801698.9597755</v>
      </c>
      <c r="P16" s="24">
        <f t="shared" si="1"/>
        <v>384135.91678204003</v>
      </c>
    </row>
    <row r="17" spans="3:16" x14ac:dyDescent="0.2">
      <c r="C17" s="23">
        <v>8</v>
      </c>
      <c r="D17" s="17" t="s">
        <v>7</v>
      </c>
      <c r="E17" s="24">
        <v>6722.0719410000002</v>
      </c>
      <c r="F17" s="24">
        <v>83806.359681999995</v>
      </c>
      <c r="G17" s="24">
        <v>0</v>
      </c>
      <c r="H17" s="24">
        <v>0</v>
      </c>
      <c r="I17" s="24">
        <v>0</v>
      </c>
      <c r="J17" s="24">
        <v>0</v>
      </c>
      <c r="K17" s="24">
        <v>828037.93990900007</v>
      </c>
      <c r="L17" s="24">
        <v>0</v>
      </c>
      <c r="M17" s="24">
        <v>0</v>
      </c>
      <c r="N17" s="24">
        <v>0</v>
      </c>
      <c r="O17" s="24">
        <f t="shared" si="0"/>
        <v>637789.72686815006</v>
      </c>
      <c r="P17" s="24">
        <f t="shared" si="1"/>
        <v>51023.178149452004</v>
      </c>
    </row>
    <row r="18" spans="3:16" x14ac:dyDescent="0.2">
      <c r="C18" s="23">
        <v>9</v>
      </c>
      <c r="D18" s="17" t="s">
        <v>8</v>
      </c>
      <c r="E18" s="24">
        <v>51219.414532000003</v>
      </c>
      <c r="F18" s="24">
        <f>750.01425+40000</f>
        <v>40750.01425</v>
      </c>
      <c r="G18" s="24">
        <v>0</v>
      </c>
      <c r="H18" s="24">
        <v>0</v>
      </c>
      <c r="I18" s="24">
        <v>0</v>
      </c>
      <c r="J18" s="24">
        <v>35000</v>
      </c>
      <c r="K18" s="24">
        <v>0</v>
      </c>
      <c r="L18" s="24">
        <v>1369553.600415</v>
      </c>
      <c r="M18" s="24">
        <v>0</v>
      </c>
      <c r="N18" s="24">
        <v>0</v>
      </c>
      <c r="O18" s="24">
        <f t="shared" si="0"/>
        <v>1395203.603265</v>
      </c>
      <c r="P18" s="24">
        <f t="shared" si="1"/>
        <v>111616.28826120001</v>
      </c>
    </row>
    <row r="19" spans="3:16" x14ac:dyDescent="0.2">
      <c r="C19" s="23">
        <v>10</v>
      </c>
      <c r="D19" s="17" t="s">
        <v>9</v>
      </c>
      <c r="E19" s="24">
        <v>0</v>
      </c>
      <c r="F19" s="24">
        <v>2870.0149489999999</v>
      </c>
      <c r="G19" s="24">
        <v>0</v>
      </c>
      <c r="H19" s="24">
        <v>0</v>
      </c>
      <c r="I19" s="24">
        <v>0</v>
      </c>
      <c r="J19" s="24">
        <v>0</v>
      </c>
      <c r="K19" s="24">
        <v>0</v>
      </c>
      <c r="L19" s="24">
        <v>10940.760700999992</v>
      </c>
      <c r="M19" s="24">
        <v>416463.86473600002</v>
      </c>
      <c r="N19" s="24">
        <v>0</v>
      </c>
      <c r="O19" s="24">
        <f t="shared" si="0"/>
        <v>636210.56079479994</v>
      </c>
      <c r="P19" s="24">
        <f t="shared" si="1"/>
        <v>50896.844863583996</v>
      </c>
    </row>
    <row r="20" spans="3:16" x14ac:dyDescent="0.2">
      <c r="C20" s="23">
        <v>11</v>
      </c>
      <c r="D20" s="17" t="s">
        <v>10</v>
      </c>
      <c r="E20" s="24">
        <v>570363</v>
      </c>
      <c r="F20" s="24">
        <v>0</v>
      </c>
      <c r="G20" s="24">
        <v>0</v>
      </c>
      <c r="H20" s="24">
        <v>0</v>
      </c>
      <c r="I20" s="24">
        <v>0</v>
      </c>
      <c r="J20" s="24">
        <v>0</v>
      </c>
      <c r="K20" s="24">
        <v>0</v>
      </c>
      <c r="L20" s="24">
        <f>1166416+513642.854523</f>
        <v>1680058.8545230001</v>
      </c>
      <c r="M20" s="24">
        <v>0</v>
      </c>
      <c r="N20" s="24">
        <v>0</v>
      </c>
      <c r="O20" s="24">
        <f t="shared" si="0"/>
        <v>1680058.8545230001</v>
      </c>
      <c r="P20" s="24">
        <f t="shared" si="1"/>
        <v>134404.70836184002</v>
      </c>
    </row>
    <row r="21" spans="3:16" s="9" customFormat="1" x14ac:dyDescent="0.2">
      <c r="C21" s="10"/>
      <c r="D21" s="18" t="s">
        <v>51</v>
      </c>
      <c r="E21" s="26">
        <f>SUM(E10:E20)</f>
        <v>6527767.4431850007</v>
      </c>
      <c r="F21" s="26">
        <f t="shared" ref="F21:N21" si="2">SUM(F10:F20)</f>
        <v>1476043.0054590001</v>
      </c>
      <c r="G21" s="26">
        <f t="shared" si="2"/>
        <v>238204.590127</v>
      </c>
      <c r="H21" s="26">
        <f t="shared" si="2"/>
        <v>0</v>
      </c>
      <c r="I21" s="26">
        <f t="shared" si="2"/>
        <v>0</v>
      </c>
      <c r="J21" s="26">
        <f t="shared" si="2"/>
        <v>9763113.4823039994</v>
      </c>
      <c r="K21" s="26">
        <f t="shared" si="2"/>
        <v>828037.93990900007</v>
      </c>
      <c r="L21" s="26">
        <f t="shared" si="2"/>
        <v>3068875.619558</v>
      </c>
      <c r="M21" s="26">
        <f t="shared" si="2"/>
        <v>416463.86473600002</v>
      </c>
      <c r="N21" s="26">
        <f t="shared" si="2"/>
        <v>0</v>
      </c>
      <c r="O21" s="26">
        <f>SUM(O10:O20)</f>
        <v>9574736.820381999</v>
      </c>
      <c r="P21" s="26">
        <f t="shared" ref="P21" si="3">SUM(P10:P20)</f>
        <v>765978.94563056005</v>
      </c>
    </row>
    <row r="22" spans="3:16" x14ac:dyDescent="0.2">
      <c r="C22" s="23"/>
      <c r="D22" s="16"/>
      <c r="E22" s="16"/>
      <c r="F22" s="16"/>
      <c r="G22" s="16"/>
      <c r="H22" s="16"/>
      <c r="I22" s="16"/>
      <c r="J22" s="16"/>
      <c r="K22" s="16"/>
      <c r="L22" s="16"/>
      <c r="M22" s="16"/>
      <c r="N22" s="16"/>
      <c r="O22" s="16"/>
      <c r="P22" s="16"/>
    </row>
    <row r="23" spans="3:16" s="13" customFormat="1" x14ac:dyDescent="0.2">
      <c r="C23" s="14" t="s">
        <v>52</v>
      </c>
      <c r="D23" s="15" t="s">
        <v>53</v>
      </c>
      <c r="E23" s="15"/>
      <c r="F23" s="15"/>
      <c r="G23" s="15"/>
      <c r="H23" s="15"/>
      <c r="I23" s="15"/>
      <c r="J23" s="15"/>
      <c r="K23" s="15"/>
      <c r="L23" s="15"/>
      <c r="M23" s="15"/>
      <c r="N23" s="15"/>
      <c r="O23" s="15"/>
      <c r="P23" s="15"/>
    </row>
    <row r="24" spans="3:16" x14ac:dyDescent="0.2">
      <c r="C24" s="23">
        <v>1</v>
      </c>
      <c r="D24" s="17" t="s">
        <v>0</v>
      </c>
      <c r="E24" s="24">
        <v>13375</v>
      </c>
      <c r="F24" s="24">
        <v>0</v>
      </c>
      <c r="G24" s="24">
        <v>0</v>
      </c>
      <c r="H24" s="24">
        <v>0</v>
      </c>
      <c r="I24" s="24">
        <v>0</v>
      </c>
      <c r="J24" s="24">
        <v>0</v>
      </c>
      <c r="K24" s="24">
        <v>0</v>
      </c>
      <c r="L24" s="24">
        <v>0</v>
      </c>
      <c r="M24" s="24">
        <v>0</v>
      </c>
      <c r="N24" s="24">
        <v>0</v>
      </c>
      <c r="O24" s="24">
        <f>($E$7*E24)+($F$7*F24)+($G$7*G24)+($H$7*H24)+($I$7*I24)+($J$7*J24)+($K$7*K24)+($L$7*L24)+($M$7*M24)</f>
        <v>0</v>
      </c>
      <c r="P24" s="24">
        <f>O24*$P$4</f>
        <v>0</v>
      </c>
    </row>
    <row r="25" spans="3:16" x14ac:dyDescent="0.2">
      <c r="C25" s="23">
        <v>2</v>
      </c>
      <c r="D25" s="17" t="s">
        <v>1</v>
      </c>
      <c r="E25" s="24">
        <v>266372.6598885</v>
      </c>
      <c r="F25" s="24">
        <v>0</v>
      </c>
      <c r="G25" s="24">
        <v>0</v>
      </c>
      <c r="H25" s="24">
        <v>0</v>
      </c>
      <c r="I25" s="24">
        <v>0</v>
      </c>
      <c r="J25" s="24">
        <f>1313.367565+1350</f>
        <v>2663.367565</v>
      </c>
      <c r="K25" s="24">
        <v>0</v>
      </c>
      <c r="L25" s="24">
        <v>0</v>
      </c>
      <c r="M25" s="24">
        <v>0</v>
      </c>
      <c r="N25" s="24">
        <v>0</v>
      </c>
      <c r="O25" s="24">
        <f>($E$7*E25)+($F$7*F25)+($G$7*G25)+($H$7*H25)+($I$7*I25)+($J$7*J25)+($K$7*K25)+($L$7*L25)+($M$7*M25)</f>
        <v>1331.6837825</v>
      </c>
      <c r="P25" s="27">
        <f>O25*$P$4</f>
        <v>106.5347026</v>
      </c>
    </row>
    <row r="26" spans="3:16" x14ac:dyDescent="0.2">
      <c r="C26" s="23">
        <v>3</v>
      </c>
      <c r="D26" s="17" t="s">
        <v>2</v>
      </c>
      <c r="E26" s="24">
        <v>0</v>
      </c>
      <c r="F26" s="24">
        <v>0</v>
      </c>
      <c r="G26" s="24">
        <v>0</v>
      </c>
      <c r="H26" s="24">
        <v>0</v>
      </c>
      <c r="I26" s="24">
        <v>0</v>
      </c>
      <c r="J26" s="24">
        <v>0</v>
      </c>
      <c r="K26" s="24">
        <v>0</v>
      </c>
      <c r="L26" s="24">
        <v>0</v>
      </c>
      <c r="M26" s="24">
        <v>0</v>
      </c>
      <c r="N26" s="24">
        <v>0</v>
      </c>
      <c r="O26" s="24">
        <f t="shared" ref="O26:O33" si="4">($E$7*E26)+($F$7*F26)+($G$7*G26)+($H$7*H26)+($I$7*I26)+($J$7*J26)+($K$7*K26)+($L$7*L26)+($M$7*M26)</f>
        <v>0</v>
      </c>
      <c r="P26" s="24">
        <f t="shared" ref="P26:P33" si="5">O26*$P$4</f>
        <v>0</v>
      </c>
    </row>
    <row r="27" spans="3:16" x14ac:dyDescent="0.2">
      <c r="C27" s="23">
        <v>4</v>
      </c>
      <c r="D27" s="17" t="s">
        <v>3</v>
      </c>
      <c r="E27" s="24">
        <v>0</v>
      </c>
      <c r="F27" s="24">
        <v>31.533471800000001</v>
      </c>
      <c r="G27" s="24">
        <v>0</v>
      </c>
      <c r="H27" s="24">
        <v>0</v>
      </c>
      <c r="I27" s="24">
        <v>0</v>
      </c>
      <c r="J27" s="24">
        <v>0</v>
      </c>
      <c r="K27" s="24">
        <v>0</v>
      </c>
      <c r="L27" s="24">
        <v>0</v>
      </c>
      <c r="M27" s="24">
        <v>0</v>
      </c>
      <c r="N27" s="24">
        <v>0</v>
      </c>
      <c r="O27" s="24">
        <f t="shared" si="4"/>
        <v>6.3066943600000007</v>
      </c>
      <c r="P27" s="24">
        <f t="shared" si="5"/>
        <v>0.50453554880000007</v>
      </c>
    </row>
    <row r="28" spans="3:16" x14ac:dyDescent="0.2">
      <c r="C28" s="23">
        <v>5</v>
      </c>
      <c r="D28" s="17" t="s">
        <v>4</v>
      </c>
      <c r="E28" s="24">
        <v>0</v>
      </c>
      <c r="F28" s="24">
        <v>0</v>
      </c>
      <c r="G28" s="24">
        <v>28.360011</v>
      </c>
      <c r="H28" s="24">
        <v>0</v>
      </c>
      <c r="I28" s="24">
        <v>0</v>
      </c>
      <c r="J28" s="24">
        <v>0</v>
      </c>
      <c r="K28" s="24">
        <v>0</v>
      </c>
      <c r="L28" s="24">
        <v>0</v>
      </c>
      <c r="M28" s="24">
        <v>0</v>
      </c>
      <c r="N28" s="24">
        <v>0</v>
      </c>
      <c r="O28" s="24">
        <f t="shared" si="4"/>
        <v>9.926003849999999</v>
      </c>
      <c r="P28" s="24">
        <f t="shared" si="5"/>
        <v>0.79408030799999996</v>
      </c>
    </row>
    <row r="29" spans="3:16" x14ac:dyDescent="0.2">
      <c r="C29" s="23">
        <v>6</v>
      </c>
      <c r="D29" s="17" t="s">
        <v>5</v>
      </c>
      <c r="E29" s="24">
        <v>0</v>
      </c>
      <c r="F29" s="24">
        <v>0</v>
      </c>
      <c r="G29" s="24">
        <v>0</v>
      </c>
      <c r="H29" s="24">
        <v>0</v>
      </c>
      <c r="I29" s="24">
        <v>0</v>
      </c>
      <c r="J29" s="24">
        <v>0</v>
      </c>
      <c r="K29" s="24">
        <v>0</v>
      </c>
      <c r="L29" s="24">
        <v>129.82544179999999</v>
      </c>
      <c r="M29" s="24">
        <v>0</v>
      </c>
      <c r="N29" s="24">
        <v>0</v>
      </c>
      <c r="O29" s="24">
        <f t="shared" si="4"/>
        <v>129.82544179999999</v>
      </c>
      <c r="P29" s="24">
        <f t="shared" si="5"/>
        <v>10.386035344</v>
      </c>
    </row>
    <row r="30" spans="3:16" x14ac:dyDescent="0.2">
      <c r="C30" s="23">
        <v>7</v>
      </c>
      <c r="D30" s="17" t="s">
        <v>6</v>
      </c>
      <c r="E30" s="24">
        <v>0</v>
      </c>
      <c r="F30" s="24">
        <v>0</v>
      </c>
      <c r="G30" s="24">
        <v>0</v>
      </c>
      <c r="H30" s="24">
        <v>0</v>
      </c>
      <c r="I30" s="24">
        <v>0</v>
      </c>
      <c r="J30" s="24">
        <v>100.42940900000001</v>
      </c>
      <c r="K30" s="24">
        <v>0</v>
      </c>
      <c r="L30" s="24">
        <v>0</v>
      </c>
      <c r="M30" s="24">
        <v>0</v>
      </c>
      <c r="N30" s="24">
        <v>0</v>
      </c>
      <c r="O30" s="24">
        <f t="shared" si="4"/>
        <v>50.214704500000003</v>
      </c>
      <c r="P30" s="24">
        <f t="shared" si="5"/>
        <v>4.0171763600000006</v>
      </c>
    </row>
    <row r="31" spans="3:16" x14ac:dyDescent="0.2">
      <c r="C31" s="23">
        <v>8</v>
      </c>
      <c r="D31" s="17" t="s">
        <v>7</v>
      </c>
      <c r="E31" s="24">
        <v>2938.5790228999999</v>
      </c>
      <c r="F31" s="24">
        <v>0</v>
      </c>
      <c r="G31" s="24">
        <v>0</v>
      </c>
      <c r="H31" s="24">
        <v>0</v>
      </c>
      <c r="I31" s="24">
        <v>0</v>
      </c>
      <c r="J31" s="24">
        <v>58015.906586999998</v>
      </c>
      <c r="K31" s="24">
        <v>50714.903870100017</v>
      </c>
      <c r="L31" s="24">
        <v>0</v>
      </c>
      <c r="M31" s="24">
        <v>0</v>
      </c>
      <c r="N31" s="24">
        <v>0</v>
      </c>
      <c r="O31" s="24">
        <f t="shared" si="4"/>
        <v>67044.131196075017</v>
      </c>
      <c r="P31" s="24">
        <f t="shared" si="5"/>
        <v>5363.5304956860018</v>
      </c>
    </row>
    <row r="32" spans="3:16" x14ac:dyDescent="0.2">
      <c r="C32" s="23">
        <v>9</v>
      </c>
      <c r="D32" s="17" t="s">
        <v>8</v>
      </c>
      <c r="E32" s="24">
        <v>4151.7487314999998</v>
      </c>
      <c r="F32" s="24">
        <v>0</v>
      </c>
      <c r="G32" s="24">
        <v>0</v>
      </c>
      <c r="H32" s="24">
        <v>0</v>
      </c>
      <c r="I32" s="24">
        <v>0</v>
      </c>
      <c r="J32" s="24">
        <v>96352.874280999997</v>
      </c>
      <c r="K32" s="24">
        <v>0</v>
      </c>
      <c r="L32" s="24">
        <v>237588.71602509997</v>
      </c>
      <c r="M32" s="24">
        <v>0</v>
      </c>
      <c r="N32" s="24">
        <v>0</v>
      </c>
      <c r="O32" s="24">
        <f t="shared" si="4"/>
        <v>285765.15316559997</v>
      </c>
      <c r="P32" s="24">
        <f t="shared" si="5"/>
        <v>22861.212253247999</v>
      </c>
    </row>
    <row r="33" spans="3:16" x14ac:dyDescent="0.2">
      <c r="C33" s="23">
        <v>10</v>
      </c>
      <c r="D33" s="17" t="s">
        <v>9</v>
      </c>
      <c r="E33" s="24">
        <v>0</v>
      </c>
      <c r="F33" s="24">
        <v>0</v>
      </c>
      <c r="G33" s="24">
        <v>0</v>
      </c>
      <c r="H33" s="24">
        <v>0</v>
      </c>
      <c r="I33" s="24">
        <v>0</v>
      </c>
      <c r="J33" s="24">
        <v>0</v>
      </c>
      <c r="K33" s="24">
        <v>0</v>
      </c>
      <c r="L33" s="24">
        <v>0</v>
      </c>
      <c r="M33" s="24">
        <v>36103.488407500001</v>
      </c>
      <c r="N33" s="24">
        <v>0</v>
      </c>
      <c r="O33" s="24">
        <f t="shared" si="4"/>
        <v>54155.232611250001</v>
      </c>
      <c r="P33" s="24">
        <f t="shared" si="5"/>
        <v>4332.4186089000004</v>
      </c>
    </row>
    <row r="34" spans="3:16" s="9" customFormat="1" x14ac:dyDescent="0.2">
      <c r="C34" s="10"/>
      <c r="D34" s="18" t="s">
        <v>51</v>
      </c>
      <c r="E34" s="26">
        <f>SUM(E24:E33)</f>
        <v>286837.98764290003</v>
      </c>
      <c r="F34" s="26">
        <f t="shared" ref="F34:P34" si="6">SUM(F24:F33)</f>
        <v>31.533471800000001</v>
      </c>
      <c r="G34" s="26">
        <f t="shared" si="6"/>
        <v>28.360011</v>
      </c>
      <c r="H34" s="26">
        <f t="shared" si="6"/>
        <v>0</v>
      </c>
      <c r="I34" s="26">
        <f t="shared" si="6"/>
        <v>0</v>
      </c>
      <c r="J34" s="26">
        <f t="shared" si="6"/>
        <v>157132.577842</v>
      </c>
      <c r="K34" s="26">
        <f t="shared" si="6"/>
        <v>50714.903870100017</v>
      </c>
      <c r="L34" s="26">
        <f t="shared" si="6"/>
        <v>237718.54146689997</v>
      </c>
      <c r="M34" s="26">
        <f t="shared" si="6"/>
        <v>36103.488407500001</v>
      </c>
      <c r="N34" s="26">
        <f t="shared" si="6"/>
        <v>0</v>
      </c>
      <c r="O34" s="26">
        <f t="shared" si="6"/>
        <v>408492.47359993501</v>
      </c>
      <c r="P34" s="26">
        <f t="shared" si="6"/>
        <v>32679.397887994801</v>
      </c>
    </row>
    <row r="35" spans="3:16" x14ac:dyDescent="0.2">
      <c r="C35" s="23"/>
      <c r="D35" s="16"/>
      <c r="E35" s="16"/>
      <c r="F35" s="16"/>
      <c r="G35" s="16"/>
      <c r="H35" s="16"/>
      <c r="I35" s="16"/>
      <c r="J35" s="16"/>
      <c r="K35" s="16"/>
      <c r="L35" s="16"/>
      <c r="M35" s="16"/>
      <c r="N35" s="16"/>
      <c r="O35" s="16"/>
      <c r="P35" s="16"/>
    </row>
    <row r="36" spans="3:16" s="13" customFormat="1" x14ac:dyDescent="0.2">
      <c r="C36" s="14" t="s">
        <v>54</v>
      </c>
      <c r="D36" s="15" t="s">
        <v>55</v>
      </c>
      <c r="E36" s="15"/>
      <c r="F36" s="15"/>
      <c r="G36" s="15"/>
      <c r="H36" s="15"/>
      <c r="I36" s="15"/>
      <c r="J36" s="15"/>
      <c r="K36" s="15"/>
      <c r="L36" s="15"/>
      <c r="M36" s="15"/>
      <c r="N36" s="15"/>
      <c r="O36" s="15"/>
      <c r="P36" s="15"/>
    </row>
    <row r="37" spans="3:16" x14ac:dyDescent="0.2">
      <c r="C37" s="23">
        <v>1</v>
      </c>
      <c r="D37" s="17" t="s">
        <v>0</v>
      </c>
      <c r="E37" s="24">
        <v>263405</v>
      </c>
      <c r="F37" s="24">
        <v>0</v>
      </c>
      <c r="G37" s="24">
        <v>0</v>
      </c>
      <c r="H37" s="24">
        <v>0</v>
      </c>
      <c r="I37" s="24">
        <v>0</v>
      </c>
      <c r="J37" s="24">
        <v>0</v>
      </c>
      <c r="K37" s="24">
        <v>0</v>
      </c>
      <c r="L37" s="24">
        <v>0</v>
      </c>
      <c r="M37" s="24">
        <v>0</v>
      </c>
      <c r="N37" s="24">
        <v>0</v>
      </c>
      <c r="O37" s="24">
        <f t="shared" ref="O37:O43" si="7">($E$7*E37)+($F$7*F37)+($G$7*G37)+($H$7*H37)+($I$7*I37)+($J$7*J37)+($K$7*K37)+($L$7*L37)+($M$7*M37)</f>
        <v>0</v>
      </c>
      <c r="P37" s="24">
        <f t="shared" ref="P37:P43" si="8">O37*$P$4</f>
        <v>0</v>
      </c>
    </row>
    <row r="38" spans="3:16" x14ac:dyDescent="0.2">
      <c r="C38" s="23">
        <v>2</v>
      </c>
      <c r="D38" s="17" t="s">
        <v>1</v>
      </c>
      <c r="E38" s="24">
        <v>0</v>
      </c>
      <c r="F38" s="24">
        <v>0</v>
      </c>
      <c r="G38" s="24">
        <v>0</v>
      </c>
      <c r="H38" s="24">
        <v>0</v>
      </c>
      <c r="I38" s="24">
        <v>0</v>
      </c>
      <c r="J38" s="24">
        <v>0</v>
      </c>
      <c r="K38" s="24">
        <v>0</v>
      </c>
      <c r="L38" s="24">
        <v>0</v>
      </c>
      <c r="M38" s="24">
        <v>0</v>
      </c>
      <c r="N38" s="24">
        <v>0</v>
      </c>
      <c r="O38" s="24">
        <f t="shared" si="7"/>
        <v>0</v>
      </c>
      <c r="P38" s="24">
        <f t="shared" si="8"/>
        <v>0</v>
      </c>
    </row>
    <row r="39" spans="3:16" x14ac:dyDescent="0.2">
      <c r="C39" s="23">
        <v>3</v>
      </c>
      <c r="D39" s="17" t="s">
        <v>2</v>
      </c>
      <c r="E39" s="24">
        <v>0</v>
      </c>
      <c r="F39" s="24">
        <v>0</v>
      </c>
      <c r="G39" s="24">
        <v>0</v>
      </c>
      <c r="H39" s="24">
        <v>0</v>
      </c>
      <c r="I39" s="24">
        <v>0</v>
      </c>
      <c r="J39" s="24">
        <v>0</v>
      </c>
      <c r="K39" s="24">
        <v>0</v>
      </c>
      <c r="L39" s="24">
        <v>0</v>
      </c>
      <c r="M39" s="24">
        <v>0</v>
      </c>
      <c r="N39" s="24">
        <v>0</v>
      </c>
      <c r="O39" s="24">
        <f t="shared" si="7"/>
        <v>0</v>
      </c>
      <c r="P39" s="24">
        <f t="shared" si="8"/>
        <v>0</v>
      </c>
    </row>
    <row r="40" spans="3:16" x14ac:dyDescent="0.2">
      <c r="C40" s="23">
        <v>4</v>
      </c>
      <c r="D40" s="17" t="s">
        <v>3</v>
      </c>
      <c r="E40" s="24">
        <v>0</v>
      </c>
      <c r="F40" s="24">
        <v>0</v>
      </c>
      <c r="G40" s="24">
        <v>0</v>
      </c>
      <c r="H40" s="24">
        <v>0</v>
      </c>
      <c r="I40" s="24">
        <v>0</v>
      </c>
      <c r="J40" s="24">
        <v>0</v>
      </c>
      <c r="K40" s="24">
        <v>0</v>
      </c>
      <c r="L40" s="24">
        <v>0</v>
      </c>
      <c r="M40" s="24">
        <v>0</v>
      </c>
      <c r="N40" s="24">
        <v>0</v>
      </c>
      <c r="O40" s="24">
        <f t="shared" si="7"/>
        <v>0</v>
      </c>
      <c r="P40" s="24">
        <f t="shared" si="8"/>
        <v>0</v>
      </c>
    </row>
    <row r="41" spans="3:16" x14ac:dyDescent="0.2">
      <c r="C41" s="23">
        <v>5</v>
      </c>
      <c r="D41" s="17" t="s">
        <v>7</v>
      </c>
      <c r="E41" s="24">
        <v>0</v>
      </c>
      <c r="F41" s="24">
        <v>0</v>
      </c>
      <c r="G41" s="24">
        <v>0</v>
      </c>
      <c r="H41" s="24">
        <v>0</v>
      </c>
      <c r="I41" s="24">
        <v>0</v>
      </c>
      <c r="J41" s="24">
        <v>0</v>
      </c>
      <c r="K41" s="24">
        <v>0</v>
      </c>
      <c r="L41" s="24">
        <v>0</v>
      </c>
      <c r="M41" s="24">
        <v>0</v>
      </c>
      <c r="N41" s="24">
        <v>0</v>
      </c>
      <c r="O41" s="24">
        <f t="shared" si="7"/>
        <v>0</v>
      </c>
      <c r="P41" s="24">
        <f t="shared" si="8"/>
        <v>0</v>
      </c>
    </row>
    <row r="42" spans="3:16" x14ac:dyDescent="0.2">
      <c r="C42" s="23">
        <v>6</v>
      </c>
      <c r="D42" s="17" t="s">
        <v>8</v>
      </c>
      <c r="E42" s="24">
        <v>0</v>
      </c>
      <c r="F42" s="24">
        <v>0</v>
      </c>
      <c r="G42" s="24">
        <v>0</v>
      </c>
      <c r="H42" s="24">
        <v>0</v>
      </c>
      <c r="I42" s="24">
        <v>0</v>
      </c>
      <c r="J42" s="24">
        <v>0</v>
      </c>
      <c r="K42" s="24">
        <v>0</v>
      </c>
      <c r="L42" s="24">
        <v>0</v>
      </c>
      <c r="M42" s="24">
        <v>0</v>
      </c>
      <c r="N42" s="24">
        <v>0</v>
      </c>
      <c r="O42" s="24">
        <f t="shared" si="7"/>
        <v>0</v>
      </c>
      <c r="P42" s="24">
        <f t="shared" si="8"/>
        <v>0</v>
      </c>
    </row>
    <row r="43" spans="3:16" x14ac:dyDescent="0.2">
      <c r="C43" s="23">
        <v>7</v>
      </c>
      <c r="D43" s="17" t="s">
        <v>9</v>
      </c>
      <c r="E43" s="24">
        <v>0</v>
      </c>
      <c r="F43" s="24">
        <v>0</v>
      </c>
      <c r="G43" s="24">
        <v>0</v>
      </c>
      <c r="H43" s="24">
        <v>0</v>
      </c>
      <c r="I43" s="24">
        <v>0</v>
      </c>
      <c r="J43" s="24">
        <v>0</v>
      </c>
      <c r="K43" s="24">
        <v>0</v>
      </c>
      <c r="L43" s="24">
        <v>0</v>
      </c>
      <c r="M43" s="24">
        <v>0</v>
      </c>
      <c r="N43" s="24">
        <v>0</v>
      </c>
      <c r="O43" s="24">
        <f t="shared" si="7"/>
        <v>0</v>
      </c>
      <c r="P43" s="24">
        <f t="shared" si="8"/>
        <v>0</v>
      </c>
    </row>
    <row r="44" spans="3:16" s="9" customFormat="1" x14ac:dyDescent="0.2">
      <c r="C44" s="10"/>
      <c r="D44" s="18" t="s">
        <v>56</v>
      </c>
      <c r="E44" s="26">
        <f>SUM(E37:E43)</f>
        <v>263405</v>
      </c>
      <c r="F44" s="26">
        <f t="shared" ref="F44:N44" si="9">SUM(F37:F43)</f>
        <v>0</v>
      </c>
      <c r="G44" s="26">
        <f t="shared" si="9"/>
        <v>0</v>
      </c>
      <c r="H44" s="26">
        <f t="shared" si="9"/>
        <v>0</v>
      </c>
      <c r="I44" s="26">
        <f t="shared" si="9"/>
        <v>0</v>
      </c>
      <c r="J44" s="26">
        <f t="shared" si="9"/>
        <v>0</v>
      </c>
      <c r="K44" s="26">
        <f t="shared" si="9"/>
        <v>0</v>
      </c>
      <c r="L44" s="26">
        <f t="shared" si="9"/>
        <v>0</v>
      </c>
      <c r="M44" s="26">
        <f t="shared" si="9"/>
        <v>0</v>
      </c>
      <c r="N44" s="26">
        <f t="shared" si="9"/>
        <v>0</v>
      </c>
      <c r="O44" s="26">
        <f t="shared" ref="O44" si="10">SUM(O37:O43)</f>
        <v>0</v>
      </c>
      <c r="P44" s="26">
        <f t="shared" ref="P44" si="11">SUM(P37:P43)</f>
        <v>0</v>
      </c>
    </row>
    <row r="47" spans="3:16" x14ac:dyDescent="0.2">
      <c r="C47" s="3" t="s">
        <v>22</v>
      </c>
      <c r="D47" s="6" t="s">
        <v>125</v>
      </c>
    </row>
    <row r="48" spans="3:16" x14ac:dyDescent="0.2">
      <c r="D48" s="8" t="s">
        <v>76</v>
      </c>
    </row>
  </sheetData>
  <mergeCells count="6">
    <mergeCell ref="P5:P7"/>
    <mergeCell ref="E5:N5"/>
    <mergeCell ref="E6:N6"/>
    <mergeCell ref="C5:C7"/>
    <mergeCell ref="D5:D7"/>
    <mergeCell ref="O5:O7"/>
  </mergeCells>
  <pageMargins left="0.34" right="0.79" top="0.75" bottom="0.75" header="0.3" footer="0.3"/>
  <pageSetup paperSize="5" scale="60" orientation="landscape" horizontalDpi="4294967293" verticalDpi="4294967293" r:id="rId1"/>
  <ignoredErrors>
    <ignoredError sqref="C3 C47 C8:P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showGridLines="0" topLeftCell="D1" workbookViewId="0">
      <selection activeCell="P32" sqref="P32"/>
    </sheetView>
  </sheetViews>
  <sheetFormatPr defaultColWidth="8.7109375" defaultRowHeight="11.25" x14ac:dyDescent="0.2"/>
  <cols>
    <col min="1" max="1" width="2.140625" style="6" bestFit="1" customWidth="1"/>
    <col min="2" max="2" width="2.42578125" style="6" customWidth="1"/>
    <col min="3" max="3" width="3.42578125" style="22" customWidth="1"/>
    <col min="4" max="4" width="49.140625" style="6" bestFit="1" customWidth="1"/>
    <col min="5" max="14" width="8.140625" style="6" customWidth="1"/>
    <col min="15" max="15" width="8.7109375" style="6" bestFit="1" customWidth="1"/>
    <col min="16" max="16" width="8.42578125" style="6" customWidth="1"/>
    <col min="17" max="26" width="8.140625" style="6" customWidth="1"/>
    <col min="27" max="27" width="8.42578125" style="6" bestFit="1" customWidth="1"/>
    <col min="28" max="28" width="8.42578125" style="6" customWidth="1"/>
    <col min="29" max="16384" width="8.7109375" style="6"/>
  </cols>
  <sheetData>
    <row r="1" spans="1:40" x14ac:dyDescent="0.2">
      <c r="A1" s="6" t="s">
        <v>12</v>
      </c>
      <c r="B1" s="6" t="s">
        <v>13</v>
      </c>
    </row>
    <row r="2" spans="1:40" x14ac:dyDescent="0.2">
      <c r="B2" s="6" t="s">
        <v>14</v>
      </c>
      <c r="C2" s="100" t="s">
        <v>15</v>
      </c>
    </row>
    <row r="3" spans="1:40" x14ac:dyDescent="0.2">
      <c r="C3" s="3" t="s">
        <v>17</v>
      </c>
      <c r="D3" s="6" t="s">
        <v>16</v>
      </c>
      <c r="AB3" s="19" t="s">
        <v>239</v>
      </c>
    </row>
    <row r="4" spans="1:40" x14ac:dyDescent="0.2">
      <c r="AA4" s="137" t="s">
        <v>27</v>
      </c>
      <c r="AB4" s="223">
        <v>0.08</v>
      </c>
      <c r="AN4" s="19" t="s">
        <v>57</v>
      </c>
    </row>
    <row r="5" spans="1:40" s="20" customFormat="1" ht="14.45" customHeight="1" x14ac:dyDescent="0.25">
      <c r="C5" s="281" t="s">
        <v>18</v>
      </c>
      <c r="D5" s="281" t="s">
        <v>19</v>
      </c>
      <c r="E5" s="274" t="s">
        <v>58</v>
      </c>
      <c r="F5" s="274"/>
      <c r="G5" s="274"/>
      <c r="H5" s="274"/>
      <c r="I5" s="274"/>
      <c r="J5" s="274"/>
      <c r="K5" s="274"/>
      <c r="L5" s="274"/>
      <c r="M5" s="274"/>
      <c r="N5" s="274"/>
      <c r="O5" s="281" t="s">
        <v>26</v>
      </c>
      <c r="P5" s="280" t="s">
        <v>27</v>
      </c>
      <c r="Q5" s="274" t="s">
        <v>23</v>
      </c>
      <c r="R5" s="274"/>
      <c r="S5" s="274"/>
      <c r="T5" s="274"/>
      <c r="U5" s="274"/>
      <c r="V5" s="274"/>
      <c r="W5" s="274"/>
      <c r="X5" s="274"/>
      <c r="Y5" s="274"/>
      <c r="Z5" s="274"/>
      <c r="AA5" s="281" t="s">
        <v>26</v>
      </c>
      <c r="AB5" s="280" t="s">
        <v>27</v>
      </c>
    </row>
    <row r="6" spans="1:40" s="20" customFormat="1" x14ac:dyDescent="0.25">
      <c r="C6" s="281"/>
      <c r="D6" s="281"/>
      <c r="E6" s="281" t="s">
        <v>24</v>
      </c>
      <c r="F6" s="281"/>
      <c r="G6" s="281"/>
      <c r="H6" s="281"/>
      <c r="I6" s="281"/>
      <c r="J6" s="281"/>
      <c r="K6" s="281"/>
      <c r="L6" s="281"/>
      <c r="M6" s="281"/>
      <c r="N6" s="281"/>
      <c r="O6" s="281"/>
      <c r="P6" s="280"/>
      <c r="Q6" s="281" t="s">
        <v>24</v>
      </c>
      <c r="R6" s="281"/>
      <c r="S6" s="281"/>
      <c r="T6" s="281"/>
      <c r="U6" s="281"/>
      <c r="V6" s="281"/>
      <c r="W6" s="281"/>
      <c r="X6" s="281"/>
      <c r="Y6" s="281"/>
      <c r="Z6" s="281"/>
      <c r="AA6" s="281"/>
      <c r="AB6" s="280"/>
    </row>
    <row r="7" spans="1:40" s="21" customFormat="1" x14ac:dyDescent="0.25">
      <c r="C7" s="281"/>
      <c r="D7" s="281"/>
      <c r="E7" s="101">
        <v>0</v>
      </c>
      <c r="F7" s="101">
        <v>0.2</v>
      </c>
      <c r="G7" s="101">
        <v>0.35</v>
      </c>
      <c r="H7" s="101">
        <v>0.4</v>
      </c>
      <c r="I7" s="101">
        <v>0.45</v>
      </c>
      <c r="J7" s="101">
        <v>0.5</v>
      </c>
      <c r="K7" s="101">
        <v>0.75</v>
      </c>
      <c r="L7" s="101">
        <v>1</v>
      </c>
      <c r="M7" s="101">
        <v>1.5</v>
      </c>
      <c r="N7" s="102" t="s">
        <v>25</v>
      </c>
      <c r="O7" s="281"/>
      <c r="P7" s="280"/>
      <c r="Q7" s="101">
        <v>0</v>
      </c>
      <c r="R7" s="101">
        <v>0.2</v>
      </c>
      <c r="S7" s="101">
        <v>0.35</v>
      </c>
      <c r="T7" s="101">
        <v>0.4</v>
      </c>
      <c r="U7" s="101">
        <v>0.45</v>
      </c>
      <c r="V7" s="101">
        <v>0.5</v>
      </c>
      <c r="W7" s="101">
        <v>0.75</v>
      </c>
      <c r="X7" s="101">
        <v>1</v>
      </c>
      <c r="Y7" s="101">
        <v>1.5</v>
      </c>
      <c r="Z7" s="102" t="s">
        <v>25</v>
      </c>
      <c r="AA7" s="281"/>
      <c r="AB7" s="280"/>
    </row>
    <row r="8" spans="1:40" s="11" customFormat="1" ht="12" customHeight="1" x14ac:dyDescent="0.25">
      <c r="C8" s="7" t="s">
        <v>17</v>
      </c>
      <c r="D8" s="7" t="s">
        <v>22</v>
      </c>
      <c r="E8" s="7" t="s">
        <v>28</v>
      </c>
      <c r="F8" s="7" t="s">
        <v>29</v>
      </c>
      <c r="G8" s="7" t="s">
        <v>30</v>
      </c>
      <c r="H8" s="7" t="s">
        <v>31</v>
      </c>
      <c r="I8" s="7" t="s">
        <v>32</v>
      </c>
      <c r="J8" s="7" t="s">
        <v>33</v>
      </c>
      <c r="K8" s="7" t="s">
        <v>34</v>
      </c>
      <c r="L8" s="7" t="s">
        <v>35</v>
      </c>
      <c r="M8" s="7" t="s">
        <v>36</v>
      </c>
      <c r="N8" s="7" t="s">
        <v>37</v>
      </c>
      <c r="O8" s="7" t="s">
        <v>38</v>
      </c>
      <c r="P8" s="7" t="s">
        <v>39</v>
      </c>
      <c r="Q8" s="7" t="s">
        <v>40</v>
      </c>
      <c r="R8" s="7" t="s">
        <v>41</v>
      </c>
      <c r="S8" s="7" t="s">
        <v>42</v>
      </c>
      <c r="T8" s="7" t="s">
        <v>43</v>
      </c>
      <c r="U8" s="7" t="s">
        <v>44</v>
      </c>
      <c r="V8" s="7" t="s">
        <v>45</v>
      </c>
      <c r="W8" s="7" t="s">
        <v>46</v>
      </c>
      <c r="X8" s="7" t="s">
        <v>47</v>
      </c>
      <c r="Y8" s="7" t="s">
        <v>48</v>
      </c>
      <c r="Z8" s="7" t="s">
        <v>49</v>
      </c>
      <c r="AA8" s="7" t="s">
        <v>50</v>
      </c>
      <c r="AB8" s="7" t="s">
        <v>50</v>
      </c>
    </row>
    <row r="9" spans="1:40" s="13" customFormat="1" x14ac:dyDescent="0.2">
      <c r="C9" s="14" t="s">
        <v>20</v>
      </c>
      <c r="D9" s="15" t="s">
        <v>21</v>
      </c>
      <c r="E9" s="15"/>
      <c r="F9" s="15"/>
      <c r="G9" s="15"/>
      <c r="H9" s="15"/>
      <c r="I9" s="15"/>
      <c r="J9" s="15"/>
      <c r="K9" s="15"/>
      <c r="L9" s="15"/>
      <c r="M9" s="15"/>
      <c r="N9" s="15"/>
      <c r="O9" s="25"/>
      <c r="P9" s="25"/>
      <c r="Q9" s="25"/>
      <c r="R9" s="25"/>
      <c r="S9" s="25"/>
      <c r="T9" s="25"/>
      <c r="U9" s="25"/>
      <c r="V9" s="25"/>
      <c r="W9" s="25"/>
      <c r="X9" s="25"/>
      <c r="Y9" s="25"/>
      <c r="Z9" s="25"/>
      <c r="AA9" s="25"/>
      <c r="AB9" s="25"/>
    </row>
    <row r="10" spans="1:40" x14ac:dyDescent="0.2">
      <c r="C10" s="23">
        <v>1</v>
      </c>
      <c r="D10" s="17" t="s">
        <v>0</v>
      </c>
      <c r="E10" s="24">
        <v>4125714.0279359994</v>
      </c>
      <c r="F10" s="24">
        <v>0</v>
      </c>
      <c r="G10" s="24">
        <v>0</v>
      </c>
      <c r="H10" s="24">
        <v>0</v>
      </c>
      <c r="I10" s="24">
        <v>0</v>
      </c>
      <c r="J10" s="24">
        <v>0</v>
      </c>
      <c r="K10" s="24">
        <v>0</v>
      </c>
      <c r="L10" s="24">
        <v>0</v>
      </c>
      <c r="M10" s="24">
        <v>0</v>
      </c>
      <c r="N10" s="24">
        <v>0</v>
      </c>
      <c r="O10" s="24">
        <f>E10*E7</f>
        <v>0</v>
      </c>
      <c r="P10" s="24">
        <f>O10*$AB$4</f>
        <v>0</v>
      </c>
      <c r="Q10" s="24">
        <v>5809214.2776210001</v>
      </c>
      <c r="R10" s="24">
        <v>0</v>
      </c>
      <c r="S10" s="24">
        <v>0</v>
      </c>
      <c r="T10" s="24">
        <v>0</v>
      </c>
      <c r="U10" s="24">
        <v>0</v>
      </c>
      <c r="V10" s="24">
        <v>0</v>
      </c>
      <c r="W10" s="24">
        <v>0</v>
      </c>
      <c r="X10" s="24">
        <v>0</v>
      </c>
      <c r="Y10" s="24">
        <v>0</v>
      </c>
      <c r="Z10" s="24">
        <v>0</v>
      </c>
      <c r="AA10" s="24">
        <f>Q10*Q7</f>
        <v>0</v>
      </c>
      <c r="AB10" s="24">
        <f>AA10*$AB$4</f>
        <v>0</v>
      </c>
    </row>
    <row r="11" spans="1:40" x14ac:dyDescent="0.2">
      <c r="C11" s="23">
        <v>2</v>
      </c>
      <c r="D11" s="17" t="s">
        <v>1</v>
      </c>
      <c r="E11" s="24">
        <v>13392.857145</v>
      </c>
      <c r="F11" s="24">
        <v>80965.2</v>
      </c>
      <c r="G11" s="24">
        <v>0</v>
      </c>
      <c r="H11" s="24">
        <v>0</v>
      </c>
      <c r="I11" s="24">
        <v>0</v>
      </c>
      <c r="J11" s="24">
        <f>19953.7+359.080115999999</f>
        <v>20312.780115999998</v>
      </c>
      <c r="K11" s="24">
        <v>0</v>
      </c>
      <c r="L11" s="24">
        <v>0</v>
      </c>
      <c r="M11" s="24">
        <v>0</v>
      </c>
      <c r="N11" s="24">
        <v>0</v>
      </c>
      <c r="O11" s="27">
        <f>($Q$7*E11)+($R$7*F11)+($S$7*G11)+($T$7*H11)+($U$7*I11)+($V$7*J11)+($W$7*K11)+($X$7*L11)+($Y$7*M11)</f>
        <v>26349.430057999998</v>
      </c>
      <c r="P11" s="27">
        <f>O11*$AB$4</f>
        <v>2107.9544046399997</v>
      </c>
      <c r="Q11" s="24">
        <v>89513.651018999997</v>
      </c>
      <c r="R11" s="24">
        <v>21000</v>
      </c>
      <c r="S11" s="24">
        <v>0</v>
      </c>
      <c r="T11" s="24">
        <v>0</v>
      </c>
      <c r="U11" s="24">
        <v>0</v>
      </c>
      <c r="V11" s="24">
        <f>+(25008.973633+205)</f>
        <v>25213.973633000001</v>
      </c>
      <c r="W11" s="24">
        <v>0</v>
      </c>
      <c r="X11" s="24">
        <v>0</v>
      </c>
      <c r="Y11" s="24">
        <v>0</v>
      </c>
      <c r="Z11" s="24">
        <v>0</v>
      </c>
      <c r="AA11" s="24">
        <f>($Q$7*Q11)+($R$7*R11)+($S$7*S11)+($T$7*T11)+($U$7*U11)+($V$7*V11)+($W$7*W11)+($X$7*X11)+($Y$7*Y11)</f>
        <v>16806.986816500001</v>
      </c>
      <c r="AB11" s="24">
        <f>AA11*$AB$4</f>
        <v>1344.55894532</v>
      </c>
    </row>
    <row r="12" spans="1:40" x14ac:dyDescent="0.2">
      <c r="C12" s="23">
        <v>3</v>
      </c>
      <c r="D12" s="17" t="s">
        <v>2</v>
      </c>
      <c r="E12" s="24">
        <v>0</v>
      </c>
      <c r="F12" s="24">
        <v>0</v>
      </c>
      <c r="G12" s="24">
        <v>0</v>
      </c>
      <c r="H12" s="24">
        <v>0</v>
      </c>
      <c r="I12" s="24">
        <v>0</v>
      </c>
      <c r="J12" s="24">
        <v>175.88904600000001</v>
      </c>
      <c r="K12" s="24">
        <v>0</v>
      </c>
      <c r="L12" s="24">
        <v>0</v>
      </c>
      <c r="M12" s="24">
        <v>0</v>
      </c>
      <c r="N12" s="24">
        <v>0</v>
      </c>
      <c r="O12" s="24">
        <f t="shared" ref="O12" si="0">($Q$7*E12)+($R$7*F12)+($S$7*G12)+($T$7*H12)+($U$7*I12)+($V$7*J12)+($W$7*K12)+($X$7*L12)+($Y$7*M12)</f>
        <v>87.944523000000004</v>
      </c>
      <c r="P12" s="24">
        <f t="shared" ref="P12:P20" si="1">O12*$AB$4</f>
        <v>7.0355618400000006</v>
      </c>
      <c r="Q12" s="24">
        <v>0</v>
      </c>
      <c r="R12" s="24">
        <v>0</v>
      </c>
      <c r="S12" s="24">
        <v>0</v>
      </c>
      <c r="T12" s="24">
        <v>0</v>
      </c>
      <c r="U12" s="24">
        <v>0</v>
      </c>
      <c r="V12" s="24">
        <v>0</v>
      </c>
      <c r="W12" s="24">
        <v>0</v>
      </c>
      <c r="X12" s="24">
        <v>0</v>
      </c>
      <c r="Y12" s="24">
        <v>0</v>
      </c>
      <c r="Z12" s="24">
        <v>0</v>
      </c>
      <c r="AA12" s="24">
        <f t="shared" ref="AA12:AA20" si="2">($Q$7*Q12)+($R$7*R12)+($S$7*S12)+($T$7*T12)+($U$7*U12)+($V$7*V12)+($W$7*W12)+($X$7*X12)+($Y$7*Y12)</f>
        <v>0</v>
      </c>
      <c r="AB12" s="24">
        <f t="shared" ref="AB12:AB20" si="3">AA12*$AB$4</f>
        <v>0</v>
      </c>
    </row>
    <row r="13" spans="1:40" x14ac:dyDescent="0.2">
      <c r="C13" s="23">
        <v>4</v>
      </c>
      <c r="D13" s="17" t="s">
        <v>3</v>
      </c>
      <c r="E13" s="24">
        <v>0</v>
      </c>
      <c r="F13" s="24">
        <f>1250047.534562+115121.815441</f>
        <v>1365169.3500030001</v>
      </c>
      <c r="G13" s="24">
        <v>0</v>
      </c>
      <c r="H13" s="24">
        <v>0</v>
      </c>
      <c r="I13" s="24">
        <v>0</v>
      </c>
      <c r="J13" s="24">
        <f>80055.8+5.651341</f>
        <v>80061.451341000007</v>
      </c>
      <c r="K13" s="24">
        <v>0</v>
      </c>
      <c r="L13" s="24">
        <v>0</v>
      </c>
      <c r="M13" s="24">
        <v>0</v>
      </c>
      <c r="N13" s="24">
        <v>0</v>
      </c>
      <c r="O13" s="24">
        <f>($Q$7*E13)+($R$7*F13)+($S$7*G13)+($T$7*H13)+($U$7*I13)+($V$7*J13)+($W$7*K13)+($X$7*L13)+($Y$7*M13)</f>
        <v>313064.59567110008</v>
      </c>
      <c r="P13" s="24">
        <f t="shared" si="1"/>
        <v>25045.167653688008</v>
      </c>
      <c r="Q13" s="24">
        <v>0</v>
      </c>
      <c r="R13" s="24">
        <f>877499.494212+326463.689845+123653.432521</f>
        <v>1327616.6165780001</v>
      </c>
      <c r="S13" s="24">
        <v>0</v>
      </c>
      <c r="T13" s="24">
        <v>0</v>
      </c>
      <c r="U13" s="24">
        <v>0</v>
      </c>
      <c r="V13" s="24">
        <f>99495.585779+6.003341</f>
        <v>99501.589120000004</v>
      </c>
      <c r="W13" s="24">
        <v>0</v>
      </c>
      <c r="X13" s="24">
        <v>0</v>
      </c>
      <c r="Y13" s="24">
        <v>0</v>
      </c>
      <c r="Z13" s="24">
        <v>0</v>
      </c>
      <c r="AA13" s="24">
        <f>($Q$7*Q13)+($R$7*R13)+($S$7*S13)+($T$7*T13)+($U$7*U13)+($V$7*V13)+($W$7*W13)+($X$7*X13)+($Y$7*Y13)</f>
        <v>315274.11787560006</v>
      </c>
      <c r="AB13" s="24">
        <f t="shared" si="3"/>
        <v>25221.929430048007</v>
      </c>
    </row>
    <row r="14" spans="1:40" x14ac:dyDescent="0.2">
      <c r="C14" s="23">
        <v>5</v>
      </c>
      <c r="D14" s="17" t="s">
        <v>4</v>
      </c>
      <c r="E14" s="24">
        <v>0</v>
      </c>
      <c r="F14" s="24">
        <v>0</v>
      </c>
      <c r="G14" s="24">
        <v>241209.872431</v>
      </c>
      <c r="H14" s="24">
        <v>0</v>
      </c>
      <c r="I14" s="24">
        <v>0</v>
      </c>
      <c r="J14" s="24">
        <v>0</v>
      </c>
      <c r="K14" s="24">
        <v>0</v>
      </c>
      <c r="L14" s="24">
        <v>0</v>
      </c>
      <c r="M14" s="24">
        <v>0</v>
      </c>
      <c r="N14" s="24">
        <v>0</v>
      </c>
      <c r="O14" s="24">
        <f t="shared" ref="O14:O20" si="4">($Q$7*E14)+($R$7*F14)+($S$7*G14)+($T$7*H14)+($U$7*I14)+($V$7*J14)+($W$7*K14)+($X$7*L14)+($Y$7*M14)</f>
        <v>84423.455350849996</v>
      </c>
      <c r="P14" s="24">
        <f t="shared" si="1"/>
        <v>6753.8764280679998</v>
      </c>
      <c r="Q14" s="24">
        <v>0</v>
      </c>
      <c r="R14" s="24">
        <v>0</v>
      </c>
      <c r="S14" s="24">
        <v>238204.590127</v>
      </c>
      <c r="T14" s="24">
        <v>0</v>
      </c>
      <c r="U14" s="24">
        <v>0</v>
      </c>
      <c r="V14" s="24">
        <v>0</v>
      </c>
      <c r="W14" s="24">
        <v>0</v>
      </c>
      <c r="X14" s="24">
        <v>0</v>
      </c>
      <c r="Y14" s="24">
        <v>0</v>
      </c>
      <c r="Z14" s="24">
        <v>0</v>
      </c>
      <c r="AA14" s="24">
        <f t="shared" si="2"/>
        <v>83371.606544449998</v>
      </c>
      <c r="AB14" s="24">
        <f t="shared" si="3"/>
        <v>6669.7285235560003</v>
      </c>
    </row>
    <row r="15" spans="1:40" x14ac:dyDescent="0.2">
      <c r="C15" s="23">
        <v>6</v>
      </c>
      <c r="D15" s="17" t="s">
        <v>5</v>
      </c>
      <c r="E15" s="24">
        <v>0</v>
      </c>
      <c r="F15" s="24">
        <v>0</v>
      </c>
      <c r="G15" s="24">
        <v>0</v>
      </c>
      <c r="H15" s="24">
        <v>0</v>
      </c>
      <c r="I15" s="24">
        <v>0</v>
      </c>
      <c r="J15" s="24">
        <v>0</v>
      </c>
      <c r="K15" s="24">
        <v>0</v>
      </c>
      <c r="L15" s="24">
        <v>62471.178787999997</v>
      </c>
      <c r="M15" s="24">
        <v>0</v>
      </c>
      <c r="N15" s="24">
        <v>0</v>
      </c>
      <c r="O15" s="24">
        <f t="shared" si="4"/>
        <v>62471.178787999997</v>
      </c>
      <c r="P15" s="24">
        <f t="shared" si="1"/>
        <v>4997.6943030399998</v>
      </c>
      <c r="Q15" s="24">
        <v>0</v>
      </c>
      <c r="R15" s="24">
        <v>0</v>
      </c>
      <c r="S15" s="24">
        <v>0</v>
      </c>
      <c r="T15" s="24">
        <v>0</v>
      </c>
      <c r="U15" s="24">
        <v>0</v>
      </c>
      <c r="V15" s="24">
        <v>0</v>
      </c>
      <c r="W15" s="24">
        <v>0</v>
      </c>
      <c r="X15" s="24">
        <v>8322.4039190000003</v>
      </c>
      <c r="Y15" s="24">
        <v>0</v>
      </c>
      <c r="Z15" s="24">
        <v>0</v>
      </c>
      <c r="AA15" s="24">
        <f t="shared" si="2"/>
        <v>8322.4039190000003</v>
      </c>
      <c r="AB15" s="24">
        <f t="shared" si="3"/>
        <v>665.79231351999999</v>
      </c>
    </row>
    <row r="16" spans="1:40" x14ac:dyDescent="0.2">
      <c r="C16" s="23">
        <v>7</v>
      </c>
      <c r="D16" s="17" t="s">
        <v>6</v>
      </c>
      <c r="E16" s="24">
        <v>1248.4777799999999</v>
      </c>
      <c r="F16" s="24">
        <v>13.352757</v>
      </c>
      <c r="G16" s="24">
        <v>0</v>
      </c>
      <c r="H16" s="24">
        <v>0</v>
      </c>
      <c r="I16" s="24">
        <v>0</v>
      </c>
      <c r="J16" s="24">
        <v>10122579.820512999</v>
      </c>
      <c r="K16" s="24">
        <v>0</v>
      </c>
      <c r="L16" s="24">
        <v>0</v>
      </c>
      <c r="M16" s="24">
        <v>0</v>
      </c>
      <c r="N16" s="24">
        <v>0</v>
      </c>
      <c r="O16" s="24">
        <f t="shared" si="4"/>
        <v>5061292.5808078991</v>
      </c>
      <c r="P16" s="24">
        <f t="shared" si="1"/>
        <v>404903.40646463196</v>
      </c>
      <c r="Q16" s="24">
        <v>735.02807199999995</v>
      </c>
      <c r="R16" s="24">
        <v>0</v>
      </c>
      <c r="S16" s="24">
        <v>0</v>
      </c>
      <c r="T16" s="24">
        <v>0</v>
      </c>
      <c r="U16" s="24">
        <v>0</v>
      </c>
      <c r="V16" s="24">
        <v>9603397.919551</v>
      </c>
      <c r="W16" s="24">
        <v>0</v>
      </c>
      <c r="X16" s="24">
        <v>0</v>
      </c>
      <c r="Y16" s="24">
        <v>0</v>
      </c>
      <c r="Z16" s="24">
        <v>0</v>
      </c>
      <c r="AA16" s="24">
        <f t="shared" si="2"/>
        <v>4801698.9597755</v>
      </c>
      <c r="AB16" s="24">
        <f t="shared" si="3"/>
        <v>384135.91678204003</v>
      </c>
    </row>
    <row r="17" spans="3:28" x14ac:dyDescent="0.2">
      <c r="C17" s="23">
        <v>8</v>
      </c>
      <c r="D17" s="17" t="s">
        <v>7</v>
      </c>
      <c r="E17" s="24">
        <v>7517.7974919999997</v>
      </c>
      <c r="F17" s="24">
        <v>79345.935245999994</v>
      </c>
      <c r="G17" s="24">
        <v>0</v>
      </c>
      <c r="H17" s="24">
        <v>0</v>
      </c>
      <c r="I17" s="24">
        <v>0</v>
      </c>
      <c r="J17" s="24">
        <v>0</v>
      </c>
      <c r="K17" s="24">
        <v>933583.85194600001</v>
      </c>
      <c r="L17" s="24">
        <v>0</v>
      </c>
      <c r="M17" s="24">
        <v>0</v>
      </c>
      <c r="N17" s="24">
        <v>0</v>
      </c>
      <c r="O17" s="24">
        <f t="shared" si="4"/>
        <v>716057.07600869995</v>
      </c>
      <c r="P17" s="24">
        <f t="shared" si="1"/>
        <v>57284.566080696</v>
      </c>
      <c r="Q17" s="24">
        <v>6722.0719410000002</v>
      </c>
      <c r="R17" s="24">
        <v>83806.359681999995</v>
      </c>
      <c r="S17" s="24">
        <v>0</v>
      </c>
      <c r="T17" s="24">
        <v>0</v>
      </c>
      <c r="U17" s="24">
        <v>0</v>
      </c>
      <c r="V17" s="24">
        <v>0</v>
      </c>
      <c r="W17" s="24">
        <v>828037.93990900007</v>
      </c>
      <c r="X17" s="24">
        <v>0</v>
      </c>
      <c r="Y17" s="24">
        <v>0</v>
      </c>
      <c r="Z17" s="24">
        <v>0</v>
      </c>
      <c r="AA17" s="24">
        <f t="shared" si="2"/>
        <v>637789.72686815006</v>
      </c>
      <c r="AB17" s="24">
        <f t="shared" si="3"/>
        <v>51023.178149452004</v>
      </c>
    </row>
    <row r="18" spans="3:28" x14ac:dyDescent="0.2">
      <c r="C18" s="23">
        <v>9</v>
      </c>
      <c r="D18" s="17" t="s">
        <v>8</v>
      </c>
      <c r="E18" s="24">
        <v>41977.045234999998</v>
      </c>
      <c r="F18" s="24">
        <f>200+89998.4</f>
        <v>90198.399999999994</v>
      </c>
      <c r="G18" s="24">
        <v>0</v>
      </c>
      <c r="H18" s="24">
        <v>0</v>
      </c>
      <c r="I18" s="24">
        <v>0</v>
      </c>
      <c r="J18" s="24">
        <v>50000</v>
      </c>
      <c r="K18" s="24">
        <v>0</v>
      </c>
      <c r="L18" s="24">
        <v>1634023.3239059998</v>
      </c>
      <c r="M18" s="24">
        <v>0</v>
      </c>
      <c r="N18" s="24">
        <v>0</v>
      </c>
      <c r="O18" s="24">
        <f t="shared" si="4"/>
        <v>1677063.0039059997</v>
      </c>
      <c r="P18" s="24">
        <f t="shared" si="1"/>
        <v>134165.04031247998</v>
      </c>
      <c r="Q18" s="24">
        <v>51219.414532000003</v>
      </c>
      <c r="R18" s="24">
        <f>750.01425+40000</f>
        <v>40750.01425</v>
      </c>
      <c r="S18" s="24">
        <v>0</v>
      </c>
      <c r="T18" s="24">
        <v>0</v>
      </c>
      <c r="U18" s="24">
        <v>0</v>
      </c>
      <c r="V18" s="24">
        <v>35000</v>
      </c>
      <c r="W18" s="24">
        <v>0</v>
      </c>
      <c r="X18" s="24">
        <v>1369553.600415</v>
      </c>
      <c r="Y18" s="24">
        <v>0</v>
      </c>
      <c r="Z18" s="24">
        <v>0</v>
      </c>
      <c r="AA18" s="24">
        <f t="shared" si="2"/>
        <v>1395203.603265</v>
      </c>
      <c r="AB18" s="24">
        <f t="shared" si="3"/>
        <v>111616.28826120001</v>
      </c>
    </row>
    <row r="19" spans="3:28" x14ac:dyDescent="0.2">
      <c r="C19" s="23">
        <v>10</v>
      </c>
      <c r="D19" s="17" t="s">
        <v>9</v>
      </c>
      <c r="E19" s="24">
        <v>0</v>
      </c>
      <c r="F19" s="24">
        <v>659.07922299999996</v>
      </c>
      <c r="G19" s="24">
        <v>0</v>
      </c>
      <c r="H19" s="24">
        <v>0</v>
      </c>
      <c r="I19" s="24">
        <v>0</v>
      </c>
      <c r="J19" s="24">
        <v>0</v>
      </c>
      <c r="K19" s="24">
        <v>0</v>
      </c>
      <c r="L19" s="24">
        <v>129425.98253800001</v>
      </c>
      <c r="M19" s="24">
        <v>156702.50181000002</v>
      </c>
      <c r="N19" s="24">
        <v>0</v>
      </c>
      <c r="O19" s="24">
        <f t="shared" si="4"/>
        <v>364611.55109760002</v>
      </c>
      <c r="P19" s="24">
        <f t="shared" si="1"/>
        <v>29168.924087808002</v>
      </c>
      <c r="Q19" s="24">
        <v>0</v>
      </c>
      <c r="R19" s="24">
        <v>2870.0149489999999</v>
      </c>
      <c r="S19" s="24">
        <v>0</v>
      </c>
      <c r="T19" s="24">
        <v>0</v>
      </c>
      <c r="U19" s="24">
        <v>0</v>
      </c>
      <c r="V19" s="24">
        <v>0</v>
      </c>
      <c r="W19" s="24">
        <v>0</v>
      </c>
      <c r="X19" s="24">
        <v>10940.760700999992</v>
      </c>
      <c r="Y19" s="24">
        <v>416463.86473600002</v>
      </c>
      <c r="Z19" s="24">
        <v>0</v>
      </c>
      <c r="AA19" s="24">
        <f t="shared" si="2"/>
        <v>636210.56079479994</v>
      </c>
      <c r="AB19" s="24">
        <f t="shared" si="3"/>
        <v>50896.844863583996</v>
      </c>
    </row>
    <row r="20" spans="3:28" x14ac:dyDescent="0.2">
      <c r="C20" s="23">
        <v>11</v>
      </c>
      <c r="D20" s="17" t="s">
        <v>10</v>
      </c>
      <c r="E20" s="24">
        <v>574121.21010200004</v>
      </c>
      <c r="F20" s="24">
        <v>0</v>
      </c>
      <c r="G20" s="24">
        <v>0</v>
      </c>
      <c r="H20" s="24">
        <v>0</v>
      </c>
      <c r="I20" s="24">
        <v>0</v>
      </c>
      <c r="J20" s="24">
        <v>0</v>
      </c>
      <c r="K20" s="24">
        <v>0</v>
      </c>
      <c r="L20" s="24">
        <v>1621487.490619</v>
      </c>
      <c r="M20" s="24">
        <v>0</v>
      </c>
      <c r="N20" s="24">
        <v>0</v>
      </c>
      <c r="O20" s="24">
        <f t="shared" si="4"/>
        <v>1621487.490619</v>
      </c>
      <c r="P20" s="24">
        <f t="shared" si="1"/>
        <v>129718.99924952001</v>
      </c>
      <c r="Q20" s="24">
        <v>570363</v>
      </c>
      <c r="R20" s="24">
        <v>0</v>
      </c>
      <c r="S20" s="24">
        <v>0</v>
      </c>
      <c r="T20" s="24">
        <v>0</v>
      </c>
      <c r="U20" s="24">
        <v>0</v>
      </c>
      <c r="V20" s="24">
        <v>0</v>
      </c>
      <c r="W20" s="24">
        <v>0</v>
      </c>
      <c r="X20" s="24">
        <f>1166416+513642.854523</f>
        <v>1680058.8545230001</v>
      </c>
      <c r="Y20" s="24">
        <v>0</v>
      </c>
      <c r="Z20" s="24">
        <v>0</v>
      </c>
      <c r="AA20" s="24">
        <f t="shared" si="2"/>
        <v>1680058.8545230001</v>
      </c>
      <c r="AB20" s="24">
        <f t="shared" si="3"/>
        <v>134404.70836184002</v>
      </c>
    </row>
    <row r="21" spans="3:28" s="9" customFormat="1" x14ac:dyDescent="0.2">
      <c r="C21" s="10"/>
      <c r="D21" s="18" t="s">
        <v>51</v>
      </c>
      <c r="E21" s="26">
        <f t="shared" ref="E21:N21" si="5">SUM(E10:E20)</f>
        <v>4763971.4156899992</v>
      </c>
      <c r="F21" s="26">
        <f t="shared" si="5"/>
        <v>1616351.3172289999</v>
      </c>
      <c r="G21" s="26">
        <f t="shared" si="5"/>
        <v>241209.872431</v>
      </c>
      <c r="H21" s="26">
        <f t="shared" si="5"/>
        <v>0</v>
      </c>
      <c r="I21" s="26">
        <f t="shared" si="5"/>
        <v>0</v>
      </c>
      <c r="J21" s="26">
        <f t="shared" si="5"/>
        <v>10273129.941016</v>
      </c>
      <c r="K21" s="26">
        <f t="shared" si="5"/>
        <v>933583.85194600001</v>
      </c>
      <c r="L21" s="26">
        <f t="shared" si="5"/>
        <v>3447407.9758509998</v>
      </c>
      <c r="M21" s="26">
        <f t="shared" si="5"/>
        <v>156702.50181000002</v>
      </c>
      <c r="N21" s="26">
        <f t="shared" si="5"/>
        <v>0</v>
      </c>
      <c r="O21" s="26">
        <f>SUM(O10:O20)</f>
        <v>9926908.3068301491</v>
      </c>
      <c r="P21" s="26">
        <f t="shared" ref="P21" si="6">SUM(P10:P20)</f>
        <v>794152.66454641195</v>
      </c>
      <c r="Q21" s="26">
        <f>SUM(Q10:Q20)</f>
        <v>6527767.4431850007</v>
      </c>
      <c r="R21" s="26">
        <f t="shared" ref="R21:Z21" si="7">SUM(R10:R20)</f>
        <v>1476043.0054590001</v>
      </c>
      <c r="S21" s="26">
        <f t="shared" si="7"/>
        <v>238204.590127</v>
      </c>
      <c r="T21" s="26">
        <f t="shared" si="7"/>
        <v>0</v>
      </c>
      <c r="U21" s="26">
        <f t="shared" si="7"/>
        <v>0</v>
      </c>
      <c r="V21" s="26">
        <f t="shared" si="7"/>
        <v>9763113.4823039994</v>
      </c>
      <c r="W21" s="26">
        <f t="shared" si="7"/>
        <v>828037.93990900007</v>
      </c>
      <c r="X21" s="26">
        <f t="shared" si="7"/>
        <v>3068875.619558</v>
      </c>
      <c r="Y21" s="26">
        <f t="shared" si="7"/>
        <v>416463.86473600002</v>
      </c>
      <c r="Z21" s="26">
        <f t="shared" si="7"/>
        <v>0</v>
      </c>
      <c r="AA21" s="26">
        <f>SUM(AA10:AA20)</f>
        <v>9574736.820381999</v>
      </c>
      <c r="AB21" s="26">
        <f t="shared" ref="AB21" si="8">SUM(AB10:AB20)</f>
        <v>765978.94563056005</v>
      </c>
    </row>
    <row r="22" spans="3:28" x14ac:dyDescent="0.2">
      <c r="C22" s="23"/>
      <c r="D22" s="16"/>
      <c r="E22" s="24"/>
      <c r="F22" s="24"/>
      <c r="G22" s="24"/>
      <c r="H22" s="24"/>
      <c r="I22" s="24"/>
      <c r="J22" s="24"/>
      <c r="K22" s="24"/>
      <c r="L22" s="24"/>
      <c r="M22" s="24"/>
      <c r="N22" s="24"/>
      <c r="O22" s="24"/>
      <c r="P22" s="24"/>
      <c r="Q22" s="16"/>
      <c r="R22" s="16"/>
      <c r="S22" s="16"/>
      <c r="T22" s="16"/>
      <c r="U22" s="16"/>
      <c r="V22" s="16"/>
      <c r="W22" s="16"/>
      <c r="X22" s="16"/>
      <c r="Y22" s="16"/>
      <c r="Z22" s="16"/>
      <c r="AA22" s="16"/>
      <c r="AB22" s="16"/>
    </row>
    <row r="23" spans="3:28" s="13" customFormat="1" x14ac:dyDescent="0.2">
      <c r="C23" s="14" t="s">
        <v>52</v>
      </c>
      <c r="D23" s="15" t="s">
        <v>53</v>
      </c>
      <c r="E23" s="25"/>
      <c r="F23" s="25"/>
      <c r="G23" s="25"/>
      <c r="H23" s="25"/>
      <c r="I23" s="25"/>
      <c r="J23" s="25"/>
      <c r="K23" s="25"/>
      <c r="L23" s="25"/>
      <c r="M23" s="25"/>
      <c r="N23" s="25"/>
      <c r="O23" s="25"/>
      <c r="P23" s="25"/>
      <c r="Q23" s="15"/>
      <c r="R23" s="15"/>
      <c r="S23" s="15"/>
      <c r="T23" s="15"/>
      <c r="U23" s="15"/>
      <c r="V23" s="15"/>
      <c r="W23" s="15"/>
      <c r="X23" s="15"/>
      <c r="Y23" s="15"/>
      <c r="Z23" s="15"/>
      <c r="AA23" s="15"/>
      <c r="AB23" s="15"/>
    </row>
    <row r="24" spans="3:28" x14ac:dyDescent="0.2">
      <c r="C24" s="23">
        <v>1</v>
      </c>
      <c r="D24" s="17" t="s">
        <v>0</v>
      </c>
      <c r="E24" s="24">
        <v>0</v>
      </c>
      <c r="F24" s="24">
        <v>0</v>
      </c>
      <c r="G24" s="24">
        <v>0</v>
      </c>
      <c r="H24" s="24">
        <v>0</v>
      </c>
      <c r="I24" s="24">
        <v>0</v>
      </c>
      <c r="J24" s="24">
        <v>0</v>
      </c>
      <c r="K24" s="24">
        <v>0</v>
      </c>
      <c r="L24" s="24">
        <v>0</v>
      </c>
      <c r="M24" s="24">
        <v>0</v>
      </c>
      <c r="N24" s="24">
        <v>0</v>
      </c>
      <c r="O24" s="24">
        <f>($Q$7*E24)+($R$7*F24)+($S$7*G24)+($T$7*H24)+($U$7*I24)+($V$7*J24)+($W$7*K24)+($X$7*L24)+($Y$7*M24)</f>
        <v>0</v>
      </c>
      <c r="P24" s="24">
        <f>O24*$AB$4</f>
        <v>0</v>
      </c>
      <c r="Q24" s="24">
        <v>13375</v>
      </c>
      <c r="R24" s="24">
        <v>0</v>
      </c>
      <c r="S24" s="24">
        <v>0</v>
      </c>
      <c r="T24" s="24">
        <v>0</v>
      </c>
      <c r="U24" s="24">
        <v>0</v>
      </c>
      <c r="V24" s="24">
        <v>0</v>
      </c>
      <c r="W24" s="24">
        <v>0</v>
      </c>
      <c r="X24" s="24">
        <v>0</v>
      </c>
      <c r="Y24" s="24">
        <v>0</v>
      </c>
      <c r="Z24" s="24">
        <v>0</v>
      </c>
      <c r="AA24" s="24">
        <f>($Q$7*Q24)+($R$7*R24)+($S$7*S24)+($T$7*T24)+($U$7*U24)+($V$7*V24)+($W$7*W24)+($X$7*X24)+($Y$7*Y24)</f>
        <v>0</v>
      </c>
      <c r="AB24" s="24">
        <f>AA24*$AB$4</f>
        <v>0</v>
      </c>
    </row>
    <row r="25" spans="3:28" x14ac:dyDescent="0.2">
      <c r="C25" s="23">
        <v>2</v>
      </c>
      <c r="D25" s="17" t="s">
        <v>1</v>
      </c>
      <c r="E25" s="24">
        <v>55874.268990500001</v>
      </c>
      <c r="F25" s="24">
        <v>0</v>
      </c>
      <c r="G25" s="24">
        <v>0</v>
      </c>
      <c r="H25" s="24">
        <v>0</v>
      </c>
      <c r="I25" s="24">
        <v>0</v>
      </c>
      <c r="J25" s="24">
        <f>78103.9877145+1916.66949999999</f>
        <v>80020.657214499995</v>
      </c>
      <c r="K25" s="24">
        <v>0</v>
      </c>
      <c r="L25" s="24">
        <v>0</v>
      </c>
      <c r="M25" s="24">
        <v>0</v>
      </c>
      <c r="N25" s="24">
        <v>0</v>
      </c>
      <c r="O25" s="24">
        <f>($Q$7*E25)+($R$7*F25)+($S$7*G25)+($T$7*H25)+($U$7*I25)+($V$7*J25)+($W$7*K25)+($X$7*L25)+($Y$7*M25)</f>
        <v>40010.328607249998</v>
      </c>
      <c r="P25" s="222">
        <f>O25*$AB$4</f>
        <v>3200.82628858</v>
      </c>
      <c r="Q25" s="24">
        <v>266372.6598885</v>
      </c>
      <c r="R25" s="24">
        <v>0</v>
      </c>
      <c r="S25" s="24">
        <v>0</v>
      </c>
      <c r="T25" s="24">
        <v>0</v>
      </c>
      <c r="U25" s="24">
        <v>0</v>
      </c>
      <c r="V25" s="24">
        <f>1313.367565+1350</f>
        <v>2663.367565</v>
      </c>
      <c r="W25" s="24">
        <v>0</v>
      </c>
      <c r="X25" s="24">
        <v>0</v>
      </c>
      <c r="Y25" s="24">
        <v>0</v>
      </c>
      <c r="Z25" s="24">
        <v>0</v>
      </c>
      <c r="AA25" s="24">
        <f>($Q$7*Q25)+($R$7*R25)+($S$7*S25)+($T$7*T25)+($U$7*U25)+($V$7*V25)+($W$7*W25)+($X$7*X25)+($Y$7*Y25)</f>
        <v>1331.6837825</v>
      </c>
      <c r="AB25" s="27">
        <f>AA25*$AB$4</f>
        <v>106.5347026</v>
      </c>
    </row>
    <row r="26" spans="3:28" x14ac:dyDescent="0.2">
      <c r="C26" s="23">
        <v>3</v>
      </c>
      <c r="D26" s="17" t="s">
        <v>2</v>
      </c>
      <c r="E26" s="24">
        <v>0</v>
      </c>
      <c r="F26" s="24">
        <v>0</v>
      </c>
      <c r="G26" s="24">
        <v>0</v>
      </c>
      <c r="H26" s="24">
        <v>0</v>
      </c>
      <c r="I26" s="24">
        <v>0</v>
      </c>
      <c r="J26" s="24">
        <v>0</v>
      </c>
      <c r="K26" s="24">
        <v>0</v>
      </c>
      <c r="L26" s="24">
        <v>0</v>
      </c>
      <c r="M26" s="24">
        <v>0</v>
      </c>
      <c r="N26" s="24">
        <v>0</v>
      </c>
      <c r="O26" s="24">
        <f t="shared" ref="O26:O33" si="9">($Q$7*E26)+($R$7*F26)+($S$7*G26)+($T$7*H26)+($U$7*I26)+($V$7*J26)+($W$7*K26)+($X$7*L26)+($Y$7*M26)</f>
        <v>0</v>
      </c>
      <c r="P26" s="24">
        <f t="shared" ref="P26:P33" si="10">O26*$AB$4</f>
        <v>0</v>
      </c>
      <c r="Q26" s="24">
        <v>0</v>
      </c>
      <c r="R26" s="24">
        <v>0</v>
      </c>
      <c r="S26" s="24">
        <v>0</v>
      </c>
      <c r="T26" s="24">
        <v>0</v>
      </c>
      <c r="U26" s="24">
        <v>0</v>
      </c>
      <c r="V26" s="24">
        <v>0</v>
      </c>
      <c r="W26" s="24">
        <v>0</v>
      </c>
      <c r="X26" s="24">
        <v>0</v>
      </c>
      <c r="Y26" s="24">
        <v>0</v>
      </c>
      <c r="Z26" s="24">
        <v>0</v>
      </c>
      <c r="AA26" s="24">
        <f t="shared" ref="AA26:AA33" si="11">($Q$7*Q26)+($R$7*R26)+($S$7*S26)+($T$7*T26)+($U$7*U26)+($V$7*V26)+($W$7*W26)+($X$7*X26)+($Y$7*Y26)</f>
        <v>0</v>
      </c>
      <c r="AB26" s="24">
        <f t="shared" ref="AB26:AB33" si="12">AA26*$AB$4</f>
        <v>0</v>
      </c>
    </row>
    <row r="27" spans="3:28" x14ac:dyDescent="0.2">
      <c r="C27" s="23">
        <v>4</v>
      </c>
      <c r="D27" s="17" t="s">
        <v>3</v>
      </c>
      <c r="E27" s="24">
        <v>0</v>
      </c>
      <c r="F27" s="24">
        <v>4166.1134934000002</v>
      </c>
      <c r="G27" s="24">
        <v>0</v>
      </c>
      <c r="H27" s="24">
        <v>0</v>
      </c>
      <c r="I27" s="24">
        <v>0</v>
      </c>
      <c r="J27" s="24">
        <v>0</v>
      </c>
      <c r="K27" s="24">
        <v>0</v>
      </c>
      <c r="L27" s="24">
        <v>0</v>
      </c>
      <c r="M27" s="24">
        <v>0</v>
      </c>
      <c r="N27" s="24">
        <v>0</v>
      </c>
      <c r="O27" s="24">
        <f t="shared" si="9"/>
        <v>833.22269868000012</v>
      </c>
      <c r="P27" s="24">
        <f t="shared" si="10"/>
        <v>66.657815894400017</v>
      </c>
      <c r="Q27" s="24">
        <v>0</v>
      </c>
      <c r="R27" s="24">
        <v>31.533471800000001</v>
      </c>
      <c r="S27" s="24">
        <v>0</v>
      </c>
      <c r="T27" s="24">
        <v>0</v>
      </c>
      <c r="U27" s="24">
        <v>0</v>
      </c>
      <c r="V27" s="24">
        <v>0</v>
      </c>
      <c r="W27" s="24">
        <v>0</v>
      </c>
      <c r="X27" s="24">
        <v>0</v>
      </c>
      <c r="Y27" s="24">
        <v>0</v>
      </c>
      <c r="Z27" s="24">
        <v>0</v>
      </c>
      <c r="AA27" s="24">
        <f t="shared" si="11"/>
        <v>6.3066943600000007</v>
      </c>
      <c r="AB27" s="24">
        <f t="shared" si="12"/>
        <v>0.50453554880000007</v>
      </c>
    </row>
    <row r="28" spans="3:28" x14ac:dyDescent="0.2">
      <c r="C28" s="23">
        <v>5</v>
      </c>
      <c r="D28" s="17" t="s">
        <v>4</v>
      </c>
      <c r="E28" s="24">
        <v>0</v>
      </c>
      <c r="F28" s="24">
        <v>0</v>
      </c>
      <c r="G28" s="24">
        <v>28.866493999999999</v>
      </c>
      <c r="H28" s="24">
        <v>0</v>
      </c>
      <c r="I28" s="24">
        <v>0</v>
      </c>
      <c r="J28" s="24"/>
      <c r="K28" s="24"/>
      <c r="L28" s="24"/>
      <c r="M28" s="24"/>
      <c r="N28" s="24"/>
      <c r="O28" s="24">
        <f t="shared" si="9"/>
        <v>10.103272899999999</v>
      </c>
      <c r="P28" s="24">
        <f t="shared" si="10"/>
        <v>0.8082618319999999</v>
      </c>
      <c r="Q28" s="24">
        <v>0</v>
      </c>
      <c r="R28" s="24">
        <v>0</v>
      </c>
      <c r="S28" s="24">
        <v>28.360011</v>
      </c>
      <c r="T28" s="24">
        <v>0</v>
      </c>
      <c r="U28" s="24">
        <v>0</v>
      </c>
      <c r="V28" s="24">
        <v>0</v>
      </c>
      <c r="W28" s="24">
        <v>0</v>
      </c>
      <c r="X28" s="24">
        <v>0</v>
      </c>
      <c r="Y28" s="24">
        <v>0</v>
      </c>
      <c r="Z28" s="24">
        <v>0</v>
      </c>
      <c r="AA28" s="24">
        <f t="shared" si="11"/>
        <v>9.926003849999999</v>
      </c>
      <c r="AB28" s="24">
        <f t="shared" si="12"/>
        <v>0.79408030799999996</v>
      </c>
    </row>
    <row r="29" spans="3:28" x14ac:dyDescent="0.2">
      <c r="C29" s="23">
        <v>6</v>
      </c>
      <c r="D29" s="17" t="s">
        <v>5</v>
      </c>
      <c r="E29" s="24">
        <v>0</v>
      </c>
      <c r="F29" s="24">
        <v>0</v>
      </c>
      <c r="G29" s="24">
        <v>0</v>
      </c>
      <c r="H29" s="24">
        <v>0</v>
      </c>
      <c r="I29" s="24">
        <v>0</v>
      </c>
      <c r="J29" s="24">
        <v>0</v>
      </c>
      <c r="K29" s="24">
        <v>0</v>
      </c>
      <c r="L29" s="24">
        <v>0</v>
      </c>
      <c r="M29" s="24">
        <v>0</v>
      </c>
      <c r="N29" s="24">
        <v>0</v>
      </c>
      <c r="O29" s="24">
        <f t="shared" si="9"/>
        <v>0</v>
      </c>
      <c r="P29" s="24">
        <f t="shared" si="10"/>
        <v>0</v>
      </c>
      <c r="Q29" s="24">
        <v>0</v>
      </c>
      <c r="R29" s="24">
        <v>0</v>
      </c>
      <c r="S29" s="24">
        <v>0</v>
      </c>
      <c r="T29" s="24">
        <v>0</v>
      </c>
      <c r="U29" s="24">
        <v>0</v>
      </c>
      <c r="V29" s="24">
        <v>0</v>
      </c>
      <c r="W29" s="24">
        <v>0</v>
      </c>
      <c r="X29" s="24">
        <v>129.82544179999999</v>
      </c>
      <c r="Y29" s="24">
        <v>0</v>
      </c>
      <c r="Z29" s="24">
        <v>0</v>
      </c>
      <c r="AA29" s="24">
        <f t="shared" si="11"/>
        <v>129.82544179999999</v>
      </c>
      <c r="AB29" s="24">
        <f t="shared" si="12"/>
        <v>10.386035344</v>
      </c>
    </row>
    <row r="30" spans="3:28" x14ac:dyDescent="0.2">
      <c r="C30" s="23">
        <v>7</v>
      </c>
      <c r="D30" s="17" t="s">
        <v>6</v>
      </c>
      <c r="E30" s="24">
        <v>0</v>
      </c>
      <c r="F30" s="24">
        <v>0</v>
      </c>
      <c r="G30" s="24">
        <v>0</v>
      </c>
      <c r="H30" s="24">
        <v>0</v>
      </c>
      <c r="I30" s="24">
        <v>0</v>
      </c>
      <c r="J30" s="24">
        <v>1.5668150000000001</v>
      </c>
      <c r="K30" s="24">
        <v>0</v>
      </c>
      <c r="L30" s="24">
        <v>0</v>
      </c>
      <c r="M30" s="24">
        <v>0</v>
      </c>
      <c r="N30" s="24">
        <v>0</v>
      </c>
      <c r="O30" s="24">
        <f t="shared" si="9"/>
        <v>0.78340750000000003</v>
      </c>
      <c r="P30" s="24">
        <f t="shared" si="10"/>
        <v>6.2672600000000009E-2</v>
      </c>
      <c r="Q30" s="24">
        <v>0</v>
      </c>
      <c r="R30" s="24">
        <v>0</v>
      </c>
      <c r="S30" s="24">
        <v>0</v>
      </c>
      <c r="T30" s="24">
        <v>0</v>
      </c>
      <c r="U30" s="24">
        <v>0</v>
      </c>
      <c r="V30" s="24">
        <v>100.42940900000001</v>
      </c>
      <c r="W30" s="24">
        <v>0</v>
      </c>
      <c r="X30" s="24">
        <v>0</v>
      </c>
      <c r="Y30" s="24">
        <v>0</v>
      </c>
      <c r="Z30" s="24">
        <v>0</v>
      </c>
      <c r="AA30" s="24">
        <f t="shared" si="11"/>
        <v>50.214704500000003</v>
      </c>
      <c r="AB30" s="24">
        <f t="shared" si="12"/>
        <v>4.0171763600000006</v>
      </c>
    </row>
    <row r="31" spans="3:28" x14ac:dyDescent="0.2">
      <c r="C31" s="23">
        <v>8</v>
      </c>
      <c r="D31" s="17" t="s">
        <v>7</v>
      </c>
      <c r="E31" s="24">
        <v>3307.5195428000002</v>
      </c>
      <c r="F31" s="24">
        <v>0</v>
      </c>
      <c r="G31" s="24">
        <v>0</v>
      </c>
      <c r="H31" s="24">
        <v>0</v>
      </c>
      <c r="I31" s="24">
        <v>0</v>
      </c>
      <c r="J31" s="24">
        <f>48397.0380625</f>
        <v>48397.038062500003</v>
      </c>
      <c r="K31" s="24">
        <v>50427.635545899997</v>
      </c>
      <c r="L31" s="24">
        <v>0</v>
      </c>
      <c r="M31" s="24">
        <v>0</v>
      </c>
      <c r="N31" s="24">
        <v>0</v>
      </c>
      <c r="O31" s="24">
        <f t="shared" si="9"/>
        <v>62019.245690675001</v>
      </c>
      <c r="P31" s="24">
        <f t="shared" si="10"/>
        <v>4961.5396552540005</v>
      </c>
      <c r="Q31" s="24">
        <v>2938.5790228999999</v>
      </c>
      <c r="R31" s="24">
        <v>0</v>
      </c>
      <c r="S31" s="24">
        <v>0</v>
      </c>
      <c r="T31" s="24">
        <v>0</v>
      </c>
      <c r="U31" s="24">
        <v>0</v>
      </c>
      <c r="V31" s="24">
        <v>58015.906586999998</v>
      </c>
      <c r="W31" s="24">
        <v>50714.903870100017</v>
      </c>
      <c r="X31" s="24">
        <v>0</v>
      </c>
      <c r="Y31" s="24">
        <v>0</v>
      </c>
      <c r="Z31" s="24">
        <v>0</v>
      </c>
      <c r="AA31" s="24">
        <f t="shared" si="11"/>
        <v>67044.131196075017</v>
      </c>
      <c r="AB31" s="24">
        <f t="shared" si="12"/>
        <v>5363.5304956860018</v>
      </c>
    </row>
    <row r="32" spans="3:28" x14ac:dyDescent="0.2">
      <c r="C32" s="23">
        <v>9</v>
      </c>
      <c r="D32" s="17" t="s">
        <v>8</v>
      </c>
      <c r="E32" s="24">
        <v>38228.087794999999</v>
      </c>
      <c r="F32" s="24">
        <v>0</v>
      </c>
      <c r="G32" s="24">
        <v>0</v>
      </c>
      <c r="H32" s="24">
        <v>0</v>
      </c>
      <c r="I32" s="24">
        <v>0</v>
      </c>
      <c r="J32" s="24">
        <v>0</v>
      </c>
      <c r="K32" s="24">
        <v>0</v>
      </c>
      <c r="L32" s="24">
        <v>266498.76431090001</v>
      </c>
      <c r="M32" s="24">
        <v>0</v>
      </c>
      <c r="N32" s="24">
        <v>0</v>
      </c>
      <c r="O32" s="24">
        <f t="shared" si="9"/>
        <v>266498.76431090001</v>
      </c>
      <c r="P32" s="24">
        <f t="shared" si="10"/>
        <v>21319.901144872001</v>
      </c>
      <c r="Q32" s="24">
        <v>4151.7487314999998</v>
      </c>
      <c r="R32" s="24">
        <v>0</v>
      </c>
      <c r="S32" s="24">
        <v>0</v>
      </c>
      <c r="T32" s="24">
        <v>0</v>
      </c>
      <c r="U32" s="24">
        <v>0</v>
      </c>
      <c r="V32" s="24">
        <v>96352.874280999997</v>
      </c>
      <c r="W32" s="24">
        <v>0</v>
      </c>
      <c r="X32" s="24">
        <v>237588.71602509997</v>
      </c>
      <c r="Y32" s="24">
        <v>0</v>
      </c>
      <c r="Z32" s="24">
        <v>0</v>
      </c>
      <c r="AA32" s="24">
        <f t="shared" si="11"/>
        <v>285765.15316559997</v>
      </c>
      <c r="AB32" s="24">
        <f t="shared" si="12"/>
        <v>22861.212253247999</v>
      </c>
    </row>
    <row r="33" spans="3:28" x14ac:dyDescent="0.2">
      <c r="C33" s="23">
        <v>10</v>
      </c>
      <c r="D33" s="17" t="s">
        <v>9</v>
      </c>
      <c r="E33" s="24">
        <v>0</v>
      </c>
      <c r="F33" s="24">
        <v>0</v>
      </c>
      <c r="G33" s="24">
        <v>0</v>
      </c>
      <c r="H33" s="24">
        <v>0</v>
      </c>
      <c r="I33" s="24">
        <v>0</v>
      </c>
      <c r="J33" s="24">
        <v>0</v>
      </c>
      <c r="K33" s="24">
        <v>0</v>
      </c>
      <c r="L33" s="24">
        <v>0</v>
      </c>
      <c r="M33" s="24">
        <v>6166.3659109999999</v>
      </c>
      <c r="N33" s="24">
        <v>0</v>
      </c>
      <c r="O33" s="24">
        <f t="shared" si="9"/>
        <v>9249.5488664999993</v>
      </c>
      <c r="P33" s="24">
        <f t="shared" si="10"/>
        <v>739.96390931999997</v>
      </c>
      <c r="Q33" s="24">
        <v>0</v>
      </c>
      <c r="R33" s="24">
        <v>0</v>
      </c>
      <c r="S33" s="24">
        <v>0</v>
      </c>
      <c r="T33" s="24">
        <v>0</v>
      </c>
      <c r="U33" s="24">
        <v>0</v>
      </c>
      <c r="V33" s="24">
        <v>0</v>
      </c>
      <c r="W33" s="24">
        <v>0</v>
      </c>
      <c r="X33" s="24">
        <v>0</v>
      </c>
      <c r="Y33" s="24">
        <v>36103.488407500001</v>
      </c>
      <c r="Z33" s="24">
        <v>0</v>
      </c>
      <c r="AA33" s="24">
        <f t="shared" si="11"/>
        <v>54155.232611250001</v>
      </c>
      <c r="AB33" s="24">
        <f t="shared" si="12"/>
        <v>4332.4186089000004</v>
      </c>
    </row>
    <row r="34" spans="3:28" s="9" customFormat="1" x14ac:dyDescent="0.2">
      <c r="C34" s="10"/>
      <c r="D34" s="18" t="s">
        <v>51</v>
      </c>
      <c r="E34" s="26">
        <f t="shared" ref="E34" si="13">SUM(E24:E33)</f>
        <v>97409.876328300001</v>
      </c>
      <c r="F34" s="26">
        <f t="shared" ref="F34" si="14">SUM(F24:F33)</f>
        <v>4166.1134934000002</v>
      </c>
      <c r="G34" s="26">
        <f t="shared" ref="G34" si="15">SUM(G24:G33)</f>
        <v>28.866493999999999</v>
      </c>
      <c r="H34" s="26">
        <f t="shared" ref="H34" si="16">SUM(H24:H33)</f>
        <v>0</v>
      </c>
      <c r="I34" s="26">
        <f t="shared" ref="I34" si="17">SUM(I24:I33)</f>
        <v>0</v>
      </c>
      <c r="J34" s="26">
        <f t="shared" ref="J34" si="18">SUM(J24:J33)</f>
        <v>128419.26209199999</v>
      </c>
      <c r="K34" s="26">
        <f t="shared" ref="K34" si="19">SUM(K24:K33)</f>
        <v>50427.635545899997</v>
      </c>
      <c r="L34" s="26">
        <f t="shared" ref="L34" si="20">SUM(L24:L33)</f>
        <v>266498.76431090001</v>
      </c>
      <c r="M34" s="26">
        <f t="shared" ref="M34" si="21">SUM(M24:M33)</f>
        <v>6166.3659109999999</v>
      </c>
      <c r="N34" s="26">
        <f t="shared" ref="N34" si="22">SUM(N24:N33)</f>
        <v>0</v>
      </c>
      <c r="O34" s="26">
        <f t="shared" ref="O34" si="23">SUM(O24:O33)</f>
        <v>378621.99685440498</v>
      </c>
      <c r="P34" s="26">
        <f t="shared" ref="P34" si="24">SUM(P24:P33)</f>
        <v>30289.7597483524</v>
      </c>
      <c r="Q34" s="26">
        <f>SUM(Q24:Q33)</f>
        <v>286837.98764290003</v>
      </c>
      <c r="R34" s="26">
        <f t="shared" ref="R34:AB34" si="25">SUM(R24:R33)</f>
        <v>31.533471800000001</v>
      </c>
      <c r="S34" s="26">
        <f t="shared" si="25"/>
        <v>28.360011</v>
      </c>
      <c r="T34" s="26">
        <f t="shared" si="25"/>
        <v>0</v>
      </c>
      <c r="U34" s="26">
        <f t="shared" si="25"/>
        <v>0</v>
      </c>
      <c r="V34" s="26">
        <f t="shared" si="25"/>
        <v>157132.577842</v>
      </c>
      <c r="W34" s="26">
        <f t="shared" si="25"/>
        <v>50714.903870100017</v>
      </c>
      <c r="X34" s="26">
        <f t="shared" si="25"/>
        <v>237718.54146689997</v>
      </c>
      <c r="Y34" s="26">
        <f t="shared" si="25"/>
        <v>36103.488407500001</v>
      </c>
      <c r="Z34" s="26">
        <f t="shared" si="25"/>
        <v>0</v>
      </c>
      <c r="AA34" s="26">
        <f t="shared" si="25"/>
        <v>408492.47359993501</v>
      </c>
      <c r="AB34" s="26">
        <f t="shared" si="25"/>
        <v>32679.397887994801</v>
      </c>
    </row>
    <row r="35" spans="3:28" x14ac:dyDescent="0.2">
      <c r="C35" s="23"/>
      <c r="D35" s="16"/>
      <c r="E35" s="24"/>
      <c r="F35" s="24"/>
      <c r="G35" s="24"/>
      <c r="H35" s="24"/>
      <c r="I35" s="24"/>
      <c r="J35" s="24"/>
      <c r="K35" s="24"/>
      <c r="L35" s="24"/>
      <c r="M35" s="24"/>
      <c r="N35" s="24"/>
      <c r="O35" s="24"/>
      <c r="P35" s="24"/>
      <c r="Q35" s="16"/>
      <c r="R35" s="16"/>
      <c r="S35" s="16"/>
      <c r="T35" s="16"/>
      <c r="U35" s="16"/>
      <c r="V35" s="16"/>
      <c r="W35" s="16"/>
      <c r="X35" s="16"/>
      <c r="Y35" s="16"/>
      <c r="Z35" s="16"/>
      <c r="AA35" s="16"/>
      <c r="AB35" s="16"/>
    </row>
    <row r="36" spans="3:28" s="13" customFormat="1" x14ac:dyDescent="0.2">
      <c r="C36" s="14" t="s">
        <v>54</v>
      </c>
      <c r="D36" s="15" t="s">
        <v>55</v>
      </c>
      <c r="E36" s="25"/>
      <c r="F36" s="25"/>
      <c r="G36" s="25"/>
      <c r="H36" s="25"/>
      <c r="I36" s="25"/>
      <c r="J36" s="25"/>
      <c r="K36" s="25"/>
      <c r="L36" s="25"/>
      <c r="M36" s="25"/>
      <c r="N36" s="25"/>
      <c r="O36" s="25"/>
      <c r="P36" s="25"/>
      <c r="Q36" s="15"/>
      <c r="R36" s="15"/>
      <c r="S36" s="15"/>
      <c r="T36" s="15"/>
      <c r="U36" s="15"/>
      <c r="V36" s="15"/>
      <c r="W36" s="15"/>
      <c r="X36" s="15"/>
      <c r="Y36" s="15"/>
      <c r="Z36" s="15"/>
      <c r="AA36" s="15"/>
      <c r="AB36" s="15"/>
    </row>
    <row r="37" spans="3:28" x14ac:dyDescent="0.2">
      <c r="C37" s="23">
        <v>1</v>
      </c>
      <c r="D37" s="17" t="s">
        <v>0</v>
      </c>
      <c r="E37" s="24">
        <v>290969.09999999998</v>
      </c>
      <c r="F37" s="24">
        <v>0</v>
      </c>
      <c r="G37" s="24">
        <v>0</v>
      </c>
      <c r="H37" s="24">
        <v>0</v>
      </c>
      <c r="I37" s="24">
        <v>0</v>
      </c>
      <c r="J37" s="24">
        <v>0</v>
      </c>
      <c r="K37" s="24">
        <v>0</v>
      </c>
      <c r="L37" s="24">
        <v>0</v>
      </c>
      <c r="M37" s="24">
        <v>0</v>
      </c>
      <c r="N37" s="24">
        <v>0</v>
      </c>
      <c r="O37" s="24">
        <f t="shared" ref="O37:O43" si="26">($Q$7*E37)+($R$7*F37)+($S$7*G37)+($T$7*H37)+($U$7*I37)+($V$7*J37)+($W$7*K37)+($X$7*L37)+($Y$7*M37)</f>
        <v>0</v>
      </c>
      <c r="P37" s="24">
        <f t="shared" ref="P37:P43" si="27">O37*$AB$4</f>
        <v>0</v>
      </c>
      <c r="Q37" s="24">
        <v>263405</v>
      </c>
      <c r="R37" s="24">
        <v>0</v>
      </c>
      <c r="S37" s="24">
        <v>0</v>
      </c>
      <c r="T37" s="24">
        <v>0</v>
      </c>
      <c r="U37" s="24">
        <v>0</v>
      </c>
      <c r="V37" s="24">
        <v>0</v>
      </c>
      <c r="W37" s="24">
        <v>0</v>
      </c>
      <c r="X37" s="24">
        <v>0</v>
      </c>
      <c r="Y37" s="24">
        <v>0</v>
      </c>
      <c r="Z37" s="24">
        <v>0</v>
      </c>
      <c r="AA37" s="24">
        <f t="shared" ref="AA37:AA43" si="28">($Q$7*Q37)+($R$7*R37)+($S$7*S37)+($T$7*T37)+($U$7*U37)+($V$7*V37)+($W$7*W37)+($X$7*X37)+($Y$7*Y37)</f>
        <v>0</v>
      </c>
      <c r="AB37" s="24">
        <f t="shared" ref="AB37:AB43" si="29">AA37*$AB$4</f>
        <v>0</v>
      </c>
    </row>
    <row r="38" spans="3:28" x14ac:dyDescent="0.2">
      <c r="C38" s="23">
        <v>2</v>
      </c>
      <c r="D38" s="17" t="s">
        <v>1</v>
      </c>
      <c r="E38" s="24">
        <v>0</v>
      </c>
      <c r="F38" s="24">
        <v>0</v>
      </c>
      <c r="G38" s="24">
        <v>0</v>
      </c>
      <c r="H38" s="24">
        <v>0</v>
      </c>
      <c r="I38" s="24">
        <v>0</v>
      </c>
      <c r="J38" s="24">
        <v>0</v>
      </c>
      <c r="K38" s="24">
        <v>0</v>
      </c>
      <c r="L38" s="24">
        <v>0</v>
      </c>
      <c r="M38" s="24">
        <v>0</v>
      </c>
      <c r="N38" s="24">
        <v>0</v>
      </c>
      <c r="O38" s="24">
        <f t="shared" si="26"/>
        <v>0</v>
      </c>
      <c r="P38" s="24">
        <f t="shared" si="27"/>
        <v>0</v>
      </c>
      <c r="Q38" s="24">
        <v>0</v>
      </c>
      <c r="R38" s="24">
        <v>0</v>
      </c>
      <c r="S38" s="24">
        <v>0</v>
      </c>
      <c r="T38" s="24">
        <v>0</v>
      </c>
      <c r="U38" s="24">
        <v>0</v>
      </c>
      <c r="V38" s="24">
        <v>0</v>
      </c>
      <c r="W38" s="24">
        <v>0</v>
      </c>
      <c r="X38" s="24">
        <v>0</v>
      </c>
      <c r="Y38" s="24">
        <v>0</v>
      </c>
      <c r="Z38" s="24">
        <v>0</v>
      </c>
      <c r="AA38" s="24">
        <f t="shared" si="28"/>
        <v>0</v>
      </c>
      <c r="AB38" s="24">
        <f t="shared" si="29"/>
        <v>0</v>
      </c>
    </row>
    <row r="39" spans="3:28" x14ac:dyDescent="0.2">
      <c r="C39" s="23">
        <v>3</v>
      </c>
      <c r="D39" s="17" t="s">
        <v>2</v>
      </c>
      <c r="E39" s="24">
        <v>0</v>
      </c>
      <c r="F39" s="24">
        <v>0</v>
      </c>
      <c r="G39" s="24">
        <v>0</v>
      </c>
      <c r="H39" s="24">
        <v>0</v>
      </c>
      <c r="I39" s="24">
        <v>0</v>
      </c>
      <c r="J39" s="24">
        <v>0</v>
      </c>
      <c r="K39" s="24">
        <v>0</v>
      </c>
      <c r="L39" s="24">
        <v>0</v>
      </c>
      <c r="M39" s="24">
        <v>0</v>
      </c>
      <c r="N39" s="24">
        <v>0</v>
      </c>
      <c r="O39" s="24">
        <f t="shared" si="26"/>
        <v>0</v>
      </c>
      <c r="P39" s="24">
        <f t="shared" si="27"/>
        <v>0</v>
      </c>
      <c r="Q39" s="24">
        <v>0</v>
      </c>
      <c r="R39" s="24">
        <v>0</v>
      </c>
      <c r="S39" s="24">
        <v>0</v>
      </c>
      <c r="T39" s="24">
        <v>0</v>
      </c>
      <c r="U39" s="24">
        <v>0</v>
      </c>
      <c r="V39" s="24">
        <v>0</v>
      </c>
      <c r="W39" s="24">
        <v>0</v>
      </c>
      <c r="X39" s="24">
        <v>0</v>
      </c>
      <c r="Y39" s="24">
        <v>0</v>
      </c>
      <c r="Z39" s="24">
        <v>0</v>
      </c>
      <c r="AA39" s="24">
        <f t="shared" si="28"/>
        <v>0</v>
      </c>
      <c r="AB39" s="24">
        <f t="shared" si="29"/>
        <v>0</v>
      </c>
    </row>
    <row r="40" spans="3:28" x14ac:dyDescent="0.2">
      <c r="C40" s="23">
        <v>4</v>
      </c>
      <c r="D40" s="17" t="s">
        <v>3</v>
      </c>
      <c r="E40" s="24">
        <v>0</v>
      </c>
      <c r="F40" s="24">
        <v>0</v>
      </c>
      <c r="G40" s="24">
        <v>0</v>
      </c>
      <c r="H40" s="24">
        <v>0</v>
      </c>
      <c r="I40" s="24">
        <v>0</v>
      </c>
      <c r="J40" s="24">
        <v>0</v>
      </c>
      <c r="K40" s="24">
        <v>0</v>
      </c>
      <c r="L40" s="24">
        <v>0</v>
      </c>
      <c r="M40" s="24">
        <v>0</v>
      </c>
      <c r="N40" s="24">
        <v>0</v>
      </c>
      <c r="O40" s="24">
        <f t="shared" si="26"/>
        <v>0</v>
      </c>
      <c r="P40" s="24">
        <f t="shared" si="27"/>
        <v>0</v>
      </c>
      <c r="Q40" s="24">
        <v>0</v>
      </c>
      <c r="R40" s="24">
        <v>0</v>
      </c>
      <c r="S40" s="24">
        <v>0</v>
      </c>
      <c r="T40" s="24">
        <v>0</v>
      </c>
      <c r="U40" s="24">
        <v>0</v>
      </c>
      <c r="V40" s="24">
        <v>0</v>
      </c>
      <c r="W40" s="24">
        <v>0</v>
      </c>
      <c r="X40" s="24">
        <v>0</v>
      </c>
      <c r="Y40" s="24">
        <v>0</v>
      </c>
      <c r="Z40" s="24">
        <v>0</v>
      </c>
      <c r="AA40" s="24">
        <f t="shared" si="28"/>
        <v>0</v>
      </c>
      <c r="AB40" s="24">
        <f t="shared" si="29"/>
        <v>0</v>
      </c>
    </row>
    <row r="41" spans="3:28" x14ac:dyDescent="0.2">
      <c r="C41" s="23">
        <v>8</v>
      </c>
      <c r="D41" s="17" t="s">
        <v>7</v>
      </c>
      <c r="E41" s="24">
        <v>0</v>
      </c>
      <c r="F41" s="24">
        <v>0</v>
      </c>
      <c r="G41" s="24">
        <v>0</v>
      </c>
      <c r="H41" s="24">
        <v>0</v>
      </c>
      <c r="I41" s="24">
        <v>0</v>
      </c>
      <c r="J41" s="24">
        <v>0</v>
      </c>
      <c r="K41" s="24">
        <v>0</v>
      </c>
      <c r="L41" s="24">
        <v>0</v>
      </c>
      <c r="M41" s="24">
        <v>0</v>
      </c>
      <c r="N41" s="24">
        <v>0</v>
      </c>
      <c r="O41" s="24">
        <f t="shared" si="26"/>
        <v>0</v>
      </c>
      <c r="P41" s="24">
        <f t="shared" si="27"/>
        <v>0</v>
      </c>
      <c r="Q41" s="24">
        <v>0</v>
      </c>
      <c r="R41" s="24">
        <v>0</v>
      </c>
      <c r="S41" s="24">
        <v>0</v>
      </c>
      <c r="T41" s="24">
        <v>0</v>
      </c>
      <c r="U41" s="24">
        <v>0</v>
      </c>
      <c r="V41" s="24">
        <v>0</v>
      </c>
      <c r="W41" s="24">
        <v>0</v>
      </c>
      <c r="X41" s="24">
        <v>0</v>
      </c>
      <c r="Y41" s="24">
        <v>0</v>
      </c>
      <c r="Z41" s="24">
        <v>0</v>
      </c>
      <c r="AA41" s="24">
        <f t="shared" si="28"/>
        <v>0</v>
      </c>
      <c r="AB41" s="24">
        <f t="shared" si="29"/>
        <v>0</v>
      </c>
    </row>
    <row r="42" spans="3:28" x14ac:dyDescent="0.2">
      <c r="C42" s="23">
        <v>9</v>
      </c>
      <c r="D42" s="17" t="s">
        <v>8</v>
      </c>
      <c r="E42" s="24">
        <v>0</v>
      </c>
      <c r="F42" s="24">
        <v>0</v>
      </c>
      <c r="G42" s="24">
        <v>0</v>
      </c>
      <c r="H42" s="24">
        <v>0</v>
      </c>
      <c r="I42" s="24">
        <v>0</v>
      </c>
      <c r="J42" s="24">
        <v>0</v>
      </c>
      <c r="K42" s="24">
        <v>0</v>
      </c>
      <c r="L42" s="24">
        <v>0</v>
      </c>
      <c r="M42" s="24">
        <v>0</v>
      </c>
      <c r="N42" s="24">
        <v>0</v>
      </c>
      <c r="O42" s="24">
        <f t="shared" si="26"/>
        <v>0</v>
      </c>
      <c r="P42" s="24">
        <f t="shared" si="27"/>
        <v>0</v>
      </c>
      <c r="Q42" s="24">
        <v>0</v>
      </c>
      <c r="R42" s="24">
        <v>0</v>
      </c>
      <c r="S42" s="24">
        <v>0</v>
      </c>
      <c r="T42" s="24">
        <v>0</v>
      </c>
      <c r="U42" s="24">
        <v>0</v>
      </c>
      <c r="V42" s="24">
        <v>0</v>
      </c>
      <c r="W42" s="24">
        <v>0</v>
      </c>
      <c r="X42" s="24">
        <v>0</v>
      </c>
      <c r="Y42" s="24">
        <v>0</v>
      </c>
      <c r="Z42" s="24">
        <v>0</v>
      </c>
      <c r="AA42" s="24">
        <f t="shared" si="28"/>
        <v>0</v>
      </c>
      <c r="AB42" s="24">
        <f t="shared" si="29"/>
        <v>0</v>
      </c>
    </row>
    <row r="43" spans="3:28" x14ac:dyDescent="0.2">
      <c r="C43" s="23">
        <v>10</v>
      </c>
      <c r="D43" s="17" t="s">
        <v>9</v>
      </c>
      <c r="E43" s="24">
        <v>0</v>
      </c>
      <c r="F43" s="24">
        <v>0</v>
      </c>
      <c r="G43" s="24">
        <v>0</v>
      </c>
      <c r="H43" s="24">
        <v>0</v>
      </c>
      <c r="I43" s="24">
        <v>0</v>
      </c>
      <c r="J43" s="24">
        <v>0</v>
      </c>
      <c r="K43" s="24">
        <v>0</v>
      </c>
      <c r="L43" s="24">
        <v>0</v>
      </c>
      <c r="M43" s="24">
        <v>0</v>
      </c>
      <c r="N43" s="24">
        <v>0</v>
      </c>
      <c r="O43" s="24">
        <f t="shared" si="26"/>
        <v>0</v>
      </c>
      <c r="P43" s="24">
        <f t="shared" si="27"/>
        <v>0</v>
      </c>
      <c r="Q43" s="24">
        <v>0</v>
      </c>
      <c r="R43" s="24">
        <v>0</v>
      </c>
      <c r="S43" s="24">
        <v>0</v>
      </c>
      <c r="T43" s="24">
        <v>0</v>
      </c>
      <c r="U43" s="24">
        <v>0</v>
      </c>
      <c r="V43" s="24">
        <v>0</v>
      </c>
      <c r="W43" s="24">
        <v>0</v>
      </c>
      <c r="X43" s="24">
        <v>0</v>
      </c>
      <c r="Y43" s="24">
        <v>0</v>
      </c>
      <c r="Z43" s="24">
        <v>0</v>
      </c>
      <c r="AA43" s="24">
        <f t="shared" si="28"/>
        <v>0</v>
      </c>
      <c r="AB43" s="24">
        <f t="shared" si="29"/>
        <v>0</v>
      </c>
    </row>
    <row r="44" spans="3:28" s="9" customFormat="1" x14ac:dyDescent="0.2">
      <c r="C44" s="10"/>
      <c r="D44" s="18" t="s">
        <v>56</v>
      </c>
      <c r="E44" s="26">
        <f t="shared" ref="E44:N44" si="30">SUM(E37:E43)</f>
        <v>290969.09999999998</v>
      </c>
      <c r="F44" s="26">
        <f t="shared" si="30"/>
        <v>0</v>
      </c>
      <c r="G44" s="26">
        <f t="shared" si="30"/>
        <v>0</v>
      </c>
      <c r="H44" s="26">
        <f t="shared" si="30"/>
        <v>0</v>
      </c>
      <c r="I44" s="26">
        <f t="shared" si="30"/>
        <v>0</v>
      </c>
      <c r="J44" s="26">
        <f t="shared" si="30"/>
        <v>0</v>
      </c>
      <c r="K44" s="26">
        <f t="shared" si="30"/>
        <v>0</v>
      </c>
      <c r="L44" s="26">
        <f t="shared" si="30"/>
        <v>0</v>
      </c>
      <c r="M44" s="26">
        <f t="shared" si="30"/>
        <v>0</v>
      </c>
      <c r="N44" s="26">
        <f t="shared" si="30"/>
        <v>0</v>
      </c>
      <c r="O44" s="26">
        <f>SUM(O37:O43)</f>
        <v>0</v>
      </c>
      <c r="P44" s="26">
        <f t="shared" ref="P44" si="31">SUM(P37:P43)</f>
        <v>0</v>
      </c>
      <c r="Q44" s="26">
        <f>SUM(Q37:Q43)</f>
        <v>263405</v>
      </c>
      <c r="R44" s="26">
        <f t="shared" ref="R44:AB44" si="32">SUM(R37:R43)</f>
        <v>0</v>
      </c>
      <c r="S44" s="26">
        <f t="shared" si="32"/>
        <v>0</v>
      </c>
      <c r="T44" s="26">
        <f t="shared" si="32"/>
        <v>0</v>
      </c>
      <c r="U44" s="26">
        <f t="shared" si="32"/>
        <v>0</v>
      </c>
      <c r="V44" s="26">
        <f t="shared" si="32"/>
        <v>0</v>
      </c>
      <c r="W44" s="26">
        <f t="shared" si="32"/>
        <v>0</v>
      </c>
      <c r="X44" s="26">
        <f t="shared" si="32"/>
        <v>0</v>
      </c>
      <c r="Y44" s="26">
        <f t="shared" si="32"/>
        <v>0</v>
      </c>
      <c r="Z44" s="26">
        <f t="shared" si="32"/>
        <v>0</v>
      </c>
      <c r="AA44" s="26">
        <f t="shared" si="32"/>
        <v>0</v>
      </c>
      <c r="AB44" s="26">
        <f t="shared" si="32"/>
        <v>0</v>
      </c>
    </row>
    <row r="47" spans="3:28" x14ac:dyDescent="0.2">
      <c r="C47" s="3" t="s">
        <v>22</v>
      </c>
      <c r="D47" s="6" t="s">
        <v>125</v>
      </c>
    </row>
    <row r="48" spans="3:28" x14ac:dyDescent="0.2">
      <c r="D48" s="8" t="s">
        <v>76</v>
      </c>
    </row>
  </sheetData>
  <mergeCells count="10">
    <mergeCell ref="C5:C7"/>
    <mergeCell ref="D5:D7"/>
    <mergeCell ref="Q5:Z5"/>
    <mergeCell ref="AA5:AA7"/>
    <mergeCell ref="AB5:AB7"/>
    <mergeCell ref="E5:N5"/>
    <mergeCell ref="O5:O7"/>
    <mergeCell ref="P5:P7"/>
    <mergeCell ref="Q6:Z6"/>
    <mergeCell ref="E6:N6"/>
  </mergeCells>
  <pageMargins left="0.12" right="0.79" top="0.67" bottom="0.75" header="0.3" footer="0.3"/>
  <pageSetup paperSize="5" scale="60" orientation="landscape" horizontalDpi="4294967293" verticalDpi="4294967293" r:id="rId1"/>
  <ignoredErrors>
    <ignoredError sqref="C3 C8:D8 E8:P8 Q8:AB8 C47"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zoomScaleNormal="100" workbookViewId="0">
      <selection activeCell="F11" sqref="F11"/>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9" width="13.5703125" customWidth="1"/>
    <col min="10" max="10" width="13.140625" bestFit="1" customWidth="1"/>
    <col min="12" max="12" width="14" customWidth="1"/>
    <col min="13" max="13" width="13.85546875" customWidth="1"/>
  </cols>
  <sheetData>
    <row r="1" spans="1:13" x14ac:dyDescent="0.25">
      <c r="A1" t="s">
        <v>146</v>
      </c>
      <c r="B1" t="s">
        <v>147</v>
      </c>
    </row>
    <row r="2" spans="1:13" x14ac:dyDescent="0.25">
      <c r="B2" s="114" t="s">
        <v>17</v>
      </c>
      <c r="C2" t="s">
        <v>148</v>
      </c>
    </row>
    <row r="3" spans="1:13" x14ac:dyDescent="0.25">
      <c r="C3" s="114" t="s">
        <v>149</v>
      </c>
      <c r="D3" t="s">
        <v>150</v>
      </c>
    </row>
    <row r="4" spans="1:13" x14ac:dyDescent="0.25">
      <c r="D4" t="s">
        <v>155</v>
      </c>
    </row>
    <row r="6" spans="1:13" x14ac:dyDescent="0.25">
      <c r="C6" s="114" t="s">
        <v>151</v>
      </c>
      <c r="D6" t="s">
        <v>152</v>
      </c>
    </row>
    <row r="7" spans="1:13" x14ac:dyDescent="0.25">
      <c r="D7" t="s">
        <v>155</v>
      </c>
    </row>
    <row r="9" spans="1:13" x14ac:dyDescent="0.25">
      <c r="C9" s="114" t="s">
        <v>153</v>
      </c>
      <c r="D9" t="s">
        <v>154</v>
      </c>
    </row>
    <row r="10" spans="1:13" s="115" customFormat="1" x14ac:dyDescent="0.25">
      <c r="D10" s="277" t="s">
        <v>18</v>
      </c>
      <c r="E10" s="277" t="s">
        <v>19</v>
      </c>
      <c r="F10" s="279" t="s">
        <v>249</v>
      </c>
      <c r="G10" s="279"/>
      <c r="H10" s="279"/>
      <c r="I10" s="279"/>
      <c r="J10" s="279" t="s">
        <v>247</v>
      </c>
      <c r="K10" s="279"/>
      <c r="L10" s="279"/>
      <c r="M10" s="279"/>
    </row>
    <row r="11" spans="1:13" s="115" customFormat="1" ht="28.5" customHeight="1" x14ac:dyDescent="0.25">
      <c r="D11" s="278"/>
      <c r="E11" s="278"/>
      <c r="F11" s="116" t="s">
        <v>59</v>
      </c>
      <c r="G11" s="116" t="s">
        <v>156</v>
      </c>
      <c r="H11" s="118" t="s">
        <v>157</v>
      </c>
      <c r="I11" s="118" t="s">
        <v>158</v>
      </c>
      <c r="J11" s="116" t="s">
        <v>59</v>
      </c>
      <c r="K11" s="116" t="s">
        <v>156</v>
      </c>
      <c r="L11" s="118" t="s">
        <v>157</v>
      </c>
      <c r="M11" s="118" t="s">
        <v>158</v>
      </c>
    </row>
    <row r="12" spans="1:13" s="43" customFormat="1" ht="14.45" customHeight="1" x14ac:dyDescent="0.25">
      <c r="D12" s="7" t="s">
        <v>17</v>
      </c>
      <c r="E12" s="7" t="s">
        <v>22</v>
      </c>
      <c r="F12" s="7" t="s">
        <v>28</v>
      </c>
      <c r="G12" s="7" t="s">
        <v>29</v>
      </c>
      <c r="H12" s="7" t="s">
        <v>30</v>
      </c>
      <c r="I12" s="7" t="s">
        <v>31</v>
      </c>
      <c r="J12" s="7" t="s">
        <v>28</v>
      </c>
      <c r="K12" s="7" t="s">
        <v>29</v>
      </c>
      <c r="L12" s="7" t="s">
        <v>30</v>
      </c>
      <c r="M12" s="7" t="s">
        <v>31</v>
      </c>
    </row>
    <row r="13" spans="1:13" x14ac:dyDescent="0.25">
      <c r="D13" s="16"/>
      <c r="E13" s="16"/>
      <c r="F13" s="16"/>
      <c r="G13" s="16"/>
      <c r="H13" s="16"/>
      <c r="I13" s="16"/>
      <c r="J13" s="16"/>
      <c r="K13" s="16"/>
      <c r="L13" s="16"/>
      <c r="M13" s="16"/>
    </row>
    <row r="14" spans="1:13" x14ac:dyDescent="0.25">
      <c r="D14" s="16">
        <v>1</v>
      </c>
      <c r="E14" s="17" t="s">
        <v>0</v>
      </c>
      <c r="F14" s="24">
        <v>871960.74054000003</v>
      </c>
      <c r="G14" s="24">
        <v>0</v>
      </c>
      <c r="H14" s="24">
        <f>F14-G14</f>
        <v>871960.74054000003</v>
      </c>
      <c r="I14" s="165">
        <f>H14*0%</f>
        <v>0</v>
      </c>
      <c r="J14" s="24">
        <v>615949.23628700001</v>
      </c>
      <c r="K14" s="24">
        <v>0</v>
      </c>
      <c r="L14" s="24">
        <f>J14-K14</f>
        <v>615949.23628700001</v>
      </c>
      <c r="M14" s="165">
        <f>L14*0%</f>
        <v>0</v>
      </c>
    </row>
    <row r="15" spans="1:13" x14ac:dyDescent="0.25">
      <c r="D15" s="16">
        <v>2</v>
      </c>
      <c r="E15" s="17" t="s">
        <v>1</v>
      </c>
      <c r="F15" s="24">
        <v>0</v>
      </c>
      <c r="G15" s="24">
        <v>0</v>
      </c>
      <c r="H15" s="24">
        <v>0</v>
      </c>
      <c r="I15" s="24">
        <v>0</v>
      </c>
      <c r="J15" s="24">
        <v>0</v>
      </c>
      <c r="K15" s="24">
        <v>0</v>
      </c>
      <c r="L15" s="24">
        <v>0</v>
      </c>
      <c r="M15" s="24">
        <v>0</v>
      </c>
    </row>
    <row r="16" spans="1:13" x14ac:dyDescent="0.25">
      <c r="D16" s="16">
        <v>3</v>
      </c>
      <c r="E16" s="17" t="s">
        <v>2</v>
      </c>
      <c r="F16" s="24">
        <v>0</v>
      </c>
      <c r="G16" s="24">
        <v>0</v>
      </c>
      <c r="H16" s="24">
        <v>0</v>
      </c>
      <c r="I16" s="24">
        <v>0</v>
      </c>
      <c r="J16" s="24">
        <v>0</v>
      </c>
      <c r="K16" s="24">
        <v>0</v>
      </c>
      <c r="L16" s="24">
        <v>0</v>
      </c>
      <c r="M16" s="24">
        <v>0</v>
      </c>
    </row>
    <row r="17" spans="2:13" x14ac:dyDescent="0.25">
      <c r="D17" s="16">
        <v>4</v>
      </c>
      <c r="E17" s="17" t="s">
        <v>3</v>
      </c>
      <c r="F17" s="24">
        <v>0</v>
      </c>
      <c r="G17" s="24">
        <v>0</v>
      </c>
      <c r="H17" s="24">
        <v>0</v>
      </c>
      <c r="I17" s="24">
        <v>0</v>
      </c>
      <c r="J17" s="24">
        <v>0</v>
      </c>
      <c r="K17" s="24">
        <v>0</v>
      </c>
      <c r="L17" s="24">
        <v>0</v>
      </c>
      <c r="M17" s="24">
        <v>0</v>
      </c>
    </row>
    <row r="18" spans="2:13" x14ac:dyDescent="0.25">
      <c r="D18" s="16">
        <v>5</v>
      </c>
      <c r="E18" s="17" t="s">
        <v>7</v>
      </c>
      <c r="F18" s="24">
        <v>0</v>
      </c>
      <c r="G18" s="24">
        <v>0</v>
      </c>
      <c r="H18" s="24">
        <v>0</v>
      </c>
      <c r="I18" s="24">
        <v>0</v>
      </c>
      <c r="J18" s="24">
        <v>0</v>
      </c>
      <c r="K18" s="24">
        <v>0</v>
      </c>
      <c r="L18" s="24">
        <v>0</v>
      </c>
      <c r="M18" s="24">
        <v>0</v>
      </c>
    </row>
    <row r="19" spans="2:13" x14ac:dyDescent="0.25">
      <c r="D19" s="16">
        <v>6</v>
      </c>
      <c r="E19" s="17" t="s">
        <v>8</v>
      </c>
      <c r="F19" s="24">
        <v>0</v>
      </c>
      <c r="G19" s="24">
        <v>0</v>
      </c>
      <c r="H19" s="24">
        <v>0</v>
      </c>
      <c r="I19" s="24">
        <v>0</v>
      </c>
      <c r="J19" s="24">
        <v>0</v>
      </c>
      <c r="K19" s="24">
        <v>0</v>
      </c>
      <c r="L19" s="24">
        <v>0</v>
      </c>
      <c r="M19" s="24">
        <v>0</v>
      </c>
    </row>
    <row r="20" spans="2:13" x14ac:dyDescent="0.25">
      <c r="D20" s="16"/>
      <c r="E20" s="16"/>
      <c r="F20" s="24"/>
      <c r="G20" s="24"/>
      <c r="H20" s="24"/>
      <c r="I20" s="24"/>
      <c r="J20" s="24"/>
      <c r="K20" s="24"/>
      <c r="L20" s="24"/>
      <c r="M20" s="24"/>
    </row>
    <row r="21" spans="2:13" x14ac:dyDescent="0.25">
      <c r="D21" s="116"/>
      <c r="E21" s="116" t="s">
        <v>97</v>
      </c>
      <c r="F21" s="117">
        <f>SUM(F14:F20)</f>
        <v>871960.74054000003</v>
      </c>
      <c r="G21" s="117">
        <f t="shared" ref="G21:I21" si="0">SUM(G14:G20)</f>
        <v>0</v>
      </c>
      <c r="H21" s="117">
        <f t="shared" si="0"/>
        <v>871960.74054000003</v>
      </c>
      <c r="I21" s="166">
        <f t="shared" si="0"/>
        <v>0</v>
      </c>
      <c r="J21" s="117">
        <f>SUM(J14:J20)</f>
        <v>615949.23628700001</v>
      </c>
      <c r="K21" s="117">
        <f t="shared" ref="K21:M21" si="1">SUM(K14:K20)</f>
        <v>0</v>
      </c>
      <c r="L21" s="117">
        <f t="shared" si="1"/>
        <v>615949.23628700001</v>
      </c>
      <c r="M21" s="166">
        <f t="shared" si="1"/>
        <v>0</v>
      </c>
    </row>
    <row r="24" spans="2:13" x14ac:dyDescent="0.25">
      <c r="B24" s="157" t="s">
        <v>236</v>
      </c>
      <c r="C24" s="157"/>
    </row>
    <row r="25" spans="2:13" x14ac:dyDescent="0.25">
      <c r="B25" s="158" t="s">
        <v>241</v>
      </c>
      <c r="C25" s="157"/>
    </row>
  </sheetData>
  <mergeCells count="4">
    <mergeCell ref="D10:D11"/>
    <mergeCell ref="E10:E11"/>
    <mergeCell ref="F10:I10"/>
    <mergeCell ref="J10:M10"/>
  </mergeCells>
  <pageMargins left="0.70866141732283472" right="0.70866141732283472" top="0.74803149606299213" bottom="0.74803149606299213" header="0.31496062992125984" footer="0.31496062992125984"/>
  <pageSetup paperSize="5" scale="85"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topLeftCell="C1" zoomScaleNormal="100" workbookViewId="0">
      <pane xSplit="2" ySplit="7" topLeftCell="E8" activePane="bottomRight" state="frozen"/>
      <selection activeCell="C1" sqref="C1"/>
      <selection pane="topRight" activeCell="E1" sqref="E1"/>
      <selection pane="bottomLeft" activeCell="C8" sqref="C8"/>
      <selection pane="bottomRight" activeCell="I2" sqref="I2"/>
    </sheetView>
  </sheetViews>
  <sheetFormatPr defaultColWidth="8.7109375" defaultRowHeight="11.25" x14ac:dyDescent="0.2"/>
  <cols>
    <col min="1" max="1" width="2.140625" style="6" bestFit="1" customWidth="1"/>
    <col min="2" max="2" width="2.42578125" style="6" customWidth="1"/>
    <col min="3" max="3" width="3.42578125" style="22" customWidth="1"/>
    <col min="4" max="4" width="49.140625" style="6" bestFit="1" customWidth="1"/>
    <col min="5" max="6" width="8.7109375" style="6" bestFit="1" customWidth="1"/>
    <col min="7" max="7" width="8.7109375" style="6" customWidth="1"/>
    <col min="8" max="10" width="8.140625" style="6" customWidth="1"/>
    <col min="11" max="11" width="9.5703125" style="6" bestFit="1" customWidth="1"/>
    <col min="12" max="12" width="8.140625" style="6" customWidth="1"/>
    <col min="13" max="13" width="8.7109375" style="6" bestFit="1" customWidth="1"/>
    <col min="14" max="15" width="8.140625" style="6" customWidth="1"/>
    <col min="16" max="16" width="9.5703125" style="6" bestFit="1" customWidth="1"/>
    <col min="17" max="17" width="8.42578125" style="6" customWidth="1"/>
    <col min="18" max="19" width="8.7109375" style="6" bestFit="1" customWidth="1"/>
    <col min="20" max="20" width="8.7109375" style="6" customWidth="1"/>
    <col min="21" max="23" width="8.140625" style="6" customWidth="1"/>
    <col min="24" max="24" width="9.5703125" style="6" bestFit="1" customWidth="1"/>
    <col min="25" max="25" width="8.140625" style="6" customWidth="1"/>
    <col min="26" max="26" width="8.7109375" style="6" bestFit="1" customWidth="1"/>
    <col min="27" max="28" width="8.140625" style="6" customWidth="1"/>
    <col min="29" max="29" width="10.85546875" style="6" bestFit="1" customWidth="1"/>
    <col min="30" max="30" width="8.42578125" style="6" customWidth="1"/>
    <col min="31" max="31" width="8.7109375" style="6"/>
    <col min="32" max="32" width="9.5703125" style="6" bestFit="1" customWidth="1"/>
    <col min="33" max="16384" width="8.7109375" style="6"/>
  </cols>
  <sheetData>
    <row r="1" spans="1:42" x14ac:dyDescent="0.2">
      <c r="A1" s="6" t="s">
        <v>12</v>
      </c>
      <c r="B1" s="6" t="s">
        <v>13</v>
      </c>
    </row>
    <row r="2" spans="1:42" x14ac:dyDescent="0.2">
      <c r="B2" s="6" t="s">
        <v>14</v>
      </c>
      <c r="C2" s="100" t="s">
        <v>15</v>
      </c>
    </row>
    <row r="3" spans="1:42" x14ac:dyDescent="0.2">
      <c r="C3" s="3" t="s">
        <v>17</v>
      </c>
      <c r="D3" s="6" t="s">
        <v>16</v>
      </c>
      <c r="AD3" s="19" t="s">
        <v>239</v>
      </c>
    </row>
    <row r="4" spans="1:42" x14ac:dyDescent="0.2">
      <c r="AC4" s="137" t="s">
        <v>27</v>
      </c>
      <c r="AD4" s="223">
        <v>0.08</v>
      </c>
      <c r="AP4" s="19" t="s">
        <v>57</v>
      </c>
    </row>
    <row r="5" spans="1:42" s="20" customFormat="1" ht="14.45" customHeight="1" x14ac:dyDescent="0.25">
      <c r="C5" s="281" t="s">
        <v>18</v>
      </c>
      <c r="D5" s="281" t="s">
        <v>19</v>
      </c>
      <c r="E5" s="274" t="s">
        <v>247</v>
      </c>
      <c r="F5" s="274"/>
      <c r="G5" s="274"/>
      <c r="H5" s="274"/>
      <c r="I5" s="274"/>
      <c r="J5" s="274"/>
      <c r="K5" s="274"/>
      <c r="L5" s="274"/>
      <c r="M5" s="274"/>
      <c r="N5" s="274"/>
      <c r="O5" s="274"/>
      <c r="P5" s="281" t="s">
        <v>26</v>
      </c>
      <c r="Q5" s="280" t="s">
        <v>27</v>
      </c>
      <c r="R5" s="274" t="s">
        <v>243</v>
      </c>
      <c r="S5" s="274"/>
      <c r="T5" s="274"/>
      <c r="U5" s="274"/>
      <c r="V5" s="274"/>
      <c r="W5" s="274"/>
      <c r="X5" s="274"/>
      <c r="Y5" s="274"/>
      <c r="Z5" s="274"/>
      <c r="AA5" s="274"/>
      <c r="AB5" s="274"/>
      <c r="AC5" s="281" t="s">
        <v>26</v>
      </c>
      <c r="AD5" s="280" t="s">
        <v>27</v>
      </c>
    </row>
    <row r="6" spans="1:42" s="20" customFormat="1" x14ac:dyDescent="0.25">
      <c r="C6" s="281"/>
      <c r="D6" s="281"/>
      <c r="E6" s="281" t="s">
        <v>24</v>
      </c>
      <c r="F6" s="281"/>
      <c r="G6" s="281"/>
      <c r="H6" s="281"/>
      <c r="I6" s="281"/>
      <c r="J6" s="281"/>
      <c r="K6" s="281"/>
      <c r="L6" s="281"/>
      <c r="M6" s="281"/>
      <c r="N6" s="281"/>
      <c r="O6" s="281"/>
      <c r="P6" s="281"/>
      <c r="Q6" s="280"/>
      <c r="R6" s="281" t="s">
        <v>24</v>
      </c>
      <c r="S6" s="281"/>
      <c r="T6" s="281"/>
      <c r="U6" s="281"/>
      <c r="V6" s="281"/>
      <c r="W6" s="281"/>
      <c r="X6" s="281"/>
      <c r="Y6" s="281"/>
      <c r="Z6" s="281"/>
      <c r="AA6" s="281"/>
      <c r="AB6" s="281"/>
      <c r="AC6" s="281"/>
      <c r="AD6" s="280"/>
    </row>
    <row r="7" spans="1:42" s="21" customFormat="1" x14ac:dyDescent="0.25">
      <c r="C7" s="281"/>
      <c r="D7" s="281"/>
      <c r="E7" s="101">
        <v>0</v>
      </c>
      <c r="F7" s="101">
        <v>0.2</v>
      </c>
      <c r="G7" s="101">
        <v>0.25</v>
      </c>
      <c r="H7" s="101">
        <v>0.35</v>
      </c>
      <c r="I7" s="101">
        <v>0.4</v>
      </c>
      <c r="J7" s="101">
        <v>0.45</v>
      </c>
      <c r="K7" s="101">
        <v>0.5</v>
      </c>
      <c r="L7" s="101">
        <v>0.75</v>
      </c>
      <c r="M7" s="101">
        <v>1</v>
      </c>
      <c r="N7" s="101">
        <v>1.5</v>
      </c>
      <c r="O7" s="227" t="s">
        <v>25</v>
      </c>
      <c r="P7" s="281"/>
      <c r="Q7" s="280"/>
      <c r="R7" s="101">
        <v>0</v>
      </c>
      <c r="S7" s="101">
        <v>0.2</v>
      </c>
      <c r="T7" s="101">
        <v>0.25</v>
      </c>
      <c r="U7" s="101">
        <v>0.35</v>
      </c>
      <c r="V7" s="101">
        <v>0.4</v>
      </c>
      <c r="W7" s="101">
        <v>0.45</v>
      </c>
      <c r="X7" s="101">
        <v>0.5</v>
      </c>
      <c r="Y7" s="101">
        <v>0.75</v>
      </c>
      <c r="Z7" s="101">
        <v>1</v>
      </c>
      <c r="AA7" s="101">
        <v>1.5</v>
      </c>
      <c r="AB7" s="227" t="s">
        <v>25</v>
      </c>
      <c r="AC7" s="281"/>
      <c r="AD7" s="280"/>
    </row>
    <row r="8" spans="1:42" s="11" customFormat="1" ht="12" customHeight="1" x14ac:dyDescent="0.2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
      <c r="C10" s="226">
        <v>1</v>
      </c>
      <c r="D10" s="17" t="s">
        <v>0</v>
      </c>
      <c r="E10" s="24">
        <v>5103844.1384089999</v>
      </c>
      <c r="F10" s="24"/>
      <c r="G10" s="24"/>
      <c r="H10" s="24"/>
      <c r="I10" s="24"/>
      <c r="J10" s="24"/>
      <c r="K10" s="24"/>
      <c r="L10" s="24"/>
      <c r="M10" s="24"/>
      <c r="N10" s="24"/>
      <c r="O10" s="24"/>
      <c r="P10" s="181">
        <f>($R$7*E10)+($S$7*F10)+($T$7*G10)+($U$7*H10)+($V$7*I10)+($W$7*J10)+($X$7*K10)+($Y$7*L10)+($Z$7*M10)+($AA$7*N10)</f>
        <v>0</v>
      </c>
      <c r="Q10" s="24">
        <f>P10*$AD$4</f>
        <v>0</v>
      </c>
      <c r="R10" s="24">
        <v>4127132.797032</v>
      </c>
      <c r="S10" s="24"/>
      <c r="T10" s="24"/>
      <c r="U10" s="24"/>
      <c r="V10" s="24"/>
      <c r="W10" s="24"/>
      <c r="X10" s="24"/>
      <c r="Y10" s="24"/>
      <c r="Z10" s="24"/>
      <c r="AA10" s="24"/>
      <c r="AB10" s="24"/>
      <c r="AC10" s="24">
        <f>R10*R7</f>
        <v>0</v>
      </c>
      <c r="AD10" s="24">
        <f>AC10*$AD$4</f>
        <v>0</v>
      </c>
    </row>
    <row r="11" spans="1:42" x14ac:dyDescent="0.2">
      <c r="C11" s="226">
        <v>2</v>
      </c>
      <c r="D11" s="17" t="s">
        <v>1</v>
      </c>
      <c r="E11" s="24"/>
      <c r="F11" s="24">
        <v>10789.5</v>
      </c>
      <c r="G11" s="24"/>
      <c r="H11" s="24"/>
      <c r="I11" s="24"/>
      <c r="J11" s="24"/>
      <c r="K11" s="24"/>
      <c r="L11" s="24"/>
      <c r="M11" s="24"/>
      <c r="N11" s="24"/>
      <c r="O11" s="24"/>
      <c r="P11" s="181">
        <f>($R$7*E11)+($S$7*F11)+($T$7*G11)+($U$7*H11)+($V$7*I11)+($W$7*J11)+($X$7*K11)+($Y$7*L11)+($Z$7*M11)+($AA$7*N11)</f>
        <v>2157.9</v>
      </c>
      <c r="Q11" s="27">
        <f>P11*$AD$4</f>
        <v>172.63200000000001</v>
      </c>
      <c r="R11" s="24"/>
      <c r="S11" s="24">
        <v>31538.3</v>
      </c>
      <c r="T11" s="24"/>
      <c r="U11" s="24"/>
      <c r="V11" s="24"/>
      <c r="W11" s="24"/>
      <c r="X11" s="24">
        <v>2862.9844779999999</v>
      </c>
      <c r="Y11" s="24"/>
      <c r="Z11" s="24"/>
      <c r="AA11" s="24"/>
      <c r="AB11" s="24"/>
      <c r="AC11" s="181">
        <f>($R$7*R11)+($S$7*S11)+($T$7*T11)+($U$7*U11)+($V$7*V11)+($W$7*W11)+($X$7*X11)+($Y$7*Y11)+($Z$7*Z11)+($AA$7*AA11)</f>
        <v>7739.152239</v>
      </c>
      <c r="AD11" s="24">
        <f>AC11*$AD$4</f>
        <v>619.13217912000005</v>
      </c>
    </row>
    <row r="12" spans="1:42" x14ac:dyDescent="0.2">
      <c r="C12" s="226">
        <v>3</v>
      </c>
      <c r="D12" s="17" t="s">
        <v>2</v>
      </c>
      <c r="E12" s="24"/>
      <c r="F12" s="24"/>
      <c r="G12" s="24"/>
      <c r="H12" s="24"/>
      <c r="I12" s="24"/>
      <c r="J12" s="24"/>
      <c r="K12" s="24"/>
      <c r="L12" s="24"/>
      <c r="M12" s="24"/>
      <c r="N12" s="24"/>
      <c r="O12" s="24"/>
      <c r="P12" s="181">
        <f t="shared" ref="P12:P13" si="0">($R$7*E12)+($S$7*F12)+($T$7*G12)+($U$7*H12)+($V$7*I12)+($W$7*J12)+($X$7*K12)+($Y$7*L12)+($Z$7*M12)+($AA$7*N12)</f>
        <v>0</v>
      </c>
      <c r="Q12" s="24">
        <f t="shared" ref="Q12:Q20" si="1">P12*$AD$4</f>
        <v>0</v>
      </c>
      <c r="R12" s="24"/>
      <c r="S12" s="24"/>
      <c r="T12" s="24"/>
      <c r="U12" s="24"/>
      <c r="V12" s="24"/>
      <c r="W12" s="24"/>
      <c r="X12" s="24"/>
      <c r="Y12" s="24"/>
      <c r="Z12" s="24"/>
      <c r="AA12" s="24"/>
      <c r="AB12" s="24"/>
      <c r="AC12" s="181">
        <f t="shared" ref="AC12:AC20" si="2">($R$7*R12)+($S$7*S12)+($T$7*T12)+($U$7*U12)+($V$7*V12)+($W$7*W12)+($X$7*X12)+($Y$7*Y12)+($Z$7*Z12)+($AA$7*AA12)</f>
        <v>0</v>
      </c>
      <c r="AD12" s="24">
        <f t="shared" ref="AD12:AD20" si="3">AC12*$AD$4</f>
        <v>0</v>
      </c>
    </row>
    <row r="13" spans="1:42" x14ac:dyDescent="0.2">
      <c r="C13" s="226">
        <v>4</v>
      </c>
      <c r="D13" s="17" t="s">
        <v>3</v>
      </c>
      <c r="E13" s="24"/>
      <c r="F13" s="24">
        <f>3581816.096907+18697.082822+248007.806536</f>
        <v>3848520.986265</v>
      </c>
      <c r="G13" s="24"/>
      <c r="H13" s="24"/>
      <c r="I13" s="24"/>
      <c r="J13" s="24"/>
      <c r="K13" s="24">
        <f>50099.4+45755.084341</f>
        <v>95854.484341000003</v>
      </c>
      <c r="L13" s="24"/>
      <c r="M13" s="24"/>
      <c r="N13" s="24"/>
      <c r="O13" s="24"/>
      <c r="P13" s="181">
        <f t="shared" si="0"/>
        <v>817631.43942349998</v>
      </c>
      <c r="Q13" s="24">
        <f t="shared" si="1"/>
        <v>65410.515153879998</v>
      </c>
      <c r="R13" s="24"/>
      <c r="S13" s="24">
        <f>2612498.896191+350.027683+241381.426136</f>
        <v>2854230.3500100002</v>
      </c>
      <c r="T13" s="24"/>
      <c r="U13" s="24"/>
      <c r="V13" s="24"/>
      <c r="W13" s="24"/>
      <c r="X13" s="24">
        <f>49967.2+55255.147341</f>
        <v>105222.347341</v>
      </c>
      <c r="Y13" s="24"/>
      <c r="Z13" s="24"/>
      <c r="AA13" s="24"/>
      <c r="AB13" s="24"/>
      <c r="AC13" s="181">
        <f t="shared" si="2"/>
        <v>623457.24367250013</v>
      </c>
      <c r="AD13" s="24">
        <f t="shared" si="3"/>
        <v>49876.579493800011</v>
      </c>
    </row>
    <row r="14" spans="1:42" x14ac:dyDescent="0.2">
      <c r="C14" s="226">
        <v>5</v>
      </c>
      <c r="D14" s="17" t="s">
        <v>4</v>
      </c>
      <c r="E14" s="24"/>
      <c r="F14" s="24">
        <v>43671.848561999992</v>
      </c>
      <c r="G14" s="24">
        <v>61193.158232000002</v>
      </c>
      <c r="H14" s="24">
        <v>491882.830954</v>
      </c>
      <c r="I14" s="24"/>
      <c r="J14" s="24"/>
      <c r="K14" s="24"/>
      <c r="L14" s="24"/>
      <c r="M14" s="24"/>
      <c r="N14" s="24"/>
      <c r="O14" s="24"/>
      <c r="P14" s="181">
        <f>($R$7*E14)+($S$7*F14)+($T$7*G14)+($U$7*H14)+($V$7*I14)+($W$7*J14)+($X$7*K14)+($Y$7*L14)+($Z$7*M14)+($AA$7*N14)</f>
        <v>196191.6501043</v>
      </c>
      <c r="Q14" s="24">
        <f t="shared" si="1"/>
        <v>15695.332008344001</v>
      </c>
      <c r="R14" s="24"/>
      <c r="S14" s="24">
        <v>41143.198361000002</v>
      </c>
      <c r="T14" s="24">
        <v>57211.192783999999</v>
      </c>
      <c r="U14" s="24">
        <v>463108.96645599999</v>
      </c>
      <c r="V14" s="24"/>
      <c r="W14" s="24"/>
      <c r="X14" s="24"/>
      <c r="Y14" s="24"/>
      <c r="Z14" s="24"/>
      <c r="AA14" s="24"/>
      <c r="AB14" s="24"/>
      <c r="AC14" s="181">
        <f t="shared" si="2"/>
        <v>184619.57612779998</v>
      </c>
      <c r="AD14" s="24">
        <f>AC14*$AD$4</f>
        <v>14769.566090224</v>
      </c>
    </row>
    <row r="15" spans="1:42" x14ac:dyDescent="0.2">
      <c r="C15" s="226">
        <v>6</v>
      </c>
      <c r="D15" s="17" t="s">
        <v>5</v>
      </c>
      <c r="E15" s="24"/>
      <c r="F15" s="24"/>
      <c r="G15" s="24"/>
      <c r="H15" s="24"/>
      <c r="I15" s="24"/>
      <c r="J15" s="24"/>
      <c r="K15" s="24"/>
      <c r="L15" s="24"/>
      <c r="M15" s="24">
        <v>150930.65102399999</v>
      </c>
      <c r="N15" s="24"/>
      <c r="O15" s="24"/>
      <c r="P15" s="181">
        <f>($R$7*E15)+($S$7*F15)+($T$7*G15)+($U$7*H15)+($V$7*I15)+($W$7*J15)+($X$7*K15)+($Y$7*L15)+($Z$7*M15)+($AA$7*N15)</f>
        <v>150930.65102399999</v>
      </c>
      <c r="Q15" s="24">
        <f>P15*$AD$4</f>
        <v>12074.452081919999</v>
      </c>
      <c r="R15" s="24"/>
      <c r="S15" s="24"/>
      <c r="T15" s="24"/>
      <c r="U15" s="24"/>
      <c r="V15" s="24"/>
      <c r="W15" s="24"/>
      <c r="X15" s="24"/>
      <c r="Y15" s="24"/>
      <c r="Z15" s="24">
        <v>118689.607485</v>
      </c>
      <c r="AA15" s="24"/>
      <c r="AB15" s="24"/>
      <c r="AC15" s="181">
        <f t="shared" si="2"/>
        <v>118689.607485</v>
      </c>
      <c r="AD15" s="24">
        <f t="shared" si="3"/>
        <v>9495.1685988000008</v>
      </c>
    </row>
    <row r="16" spans="1:42" x14ac:dyDescent="0.2">
      <c r="C16" s="226">
        <v>7</v>
      </c>
      <c r="D16" s="17" t="s">
        <v>6</v>
      </c>
      <c r="E16" s="24">
        <v>4542.1743470000001</v>
      </c>
      <c r="F16" s="24"/>
      <c r="G16" s="24"/>
      <c r="H16" s="24"/>
      <c r="I16" s="24"/>
      <c r="J16" s="24"/>
      <c r="K16" s="24">
        <v>11305212.441056</v>
      </c>
      <c r="L16" s="24"/>
      <c r="M16" s="24"/>
      <c r="N16" s="24"/>
      <c r="O16" s="24"/>
      <c r="P16" s="181">
        <f t="shared" ref="P16:P18" si="4">($R$7*E16)+($S$7*F16)+($T$7*G16)+($U$7*H16)+($V$7*I16)+($W$7*J16)+($X$7*K16)+($Y$7*L16)+($Z$7*M16)+($AA$7*N16)</f>
        <v>5652606.220528</v>
      </c>
      <c r="Q16" s="24">
        <f t="shared" si="1"/>
        <v>452208.49764224002</v>
      </c>
      <c r="R16" s="24">
        <v>3670.9811800000002</v>
      </c>
      <c r="S16" s="24"/>
      <c r="T16" s="24"/>
      <c r="U16" s="24"/>
      <c r="V16" s="24"/>
      <c r="W16" s="24"/>
      <c r="X16" s="24">
        <v>11332444.648206001</v>
      </c>
      <c r="Y16" s="24"/>
      <c r="Z16" s="24"/>
      <c r="AA16" s="24"/>
      <c r="AB16" s="24"/>
      <c r="AC16" s="181">
        <f t="shared" si="2"/>
        <v>5666222.3241030006</v>
      </c>
      <c r="AD16" s="24">
        <f t="shared" si="3"/>
        <v>453297.78592824005</v>
      </c>
    </row>
    <row r="17" spans="3:32" x14ac:dyDescent="0.2">
      <c r="C17" s="226">
        <v>8</v>
      </c>
      <c r="D17" s="17" t="s">
        <v>7</v>
      </c>
      <c r="E17" s="24">
        <v>5150.2682459999996</v>
      </c>
      <c r="F17" s="24">
        <v>35288.429084000003</v>
      </c>
      <c r="G17" s="24"/>
      <c r="H17" s="24"/>
      <c r="I17" s="24"/>
      <c r="J17" s="24"/>
      <c r="K17" s="24"/>
      <c r="L17" s="24">
        <v>939229.83099100005</v>
      </c>
      <c r="M17" s="24"/>
      <c r="N17" s="24"/>
      <c r="O17" s="24"/>
      <c r="P17" s="181">
        <f t="shared" si="4"/>
        <v>711480.05906005006</v>
      </c>
      <c r="Q17" s="24">
        <f t="shared" si="1"/>
        <v>56918.404724804008</v>
      </c>
      <c r="R17" s="24">
        <v>8113.4985589999997</v>
      </c>
      <c r="S17" s="24">
        <v>34596.450302999998</v>
      </c>
      <c r="T17" s="24"/>
      <c r="U17" s="24"/>
      <c r="V17" s="24"/>
      <c r="W17" s="24"/>
      <c r="X17" s="24"/>
      <c r="Y17" s="24">
        <v>885752.82015999989</v>
      </c>
      <c r="Z17" s="24"/>
      <c r="AA17" s="24"/>
      <c r="AB17" s="24"/>
      <c r="AC17" s="181">
        <f t="shared" si="2"/>
        <v>671233.90518060001</v>
      </c>
      <c r="AD17" s="24">
        <f t="shared" si="3"/>
        <v>53698.712414448004</v>
      </c>
    </row>
    <row r="18" spans="3:32" x14ac:dyDescent="0.2">
      <c r="C18" s="226">
        <v>9</v>
      </c>
      <c r="D18" s="17" t="s">
        <v>8</v>
      </c>
      <c r="E18" s="24">
        <v>22105.433846</v>
      </c>
      <c r="F18" s="24">
        <f>23199.28375+24.75</f>
        <v>23224.033749999999</v>
      </c>
      <c r="G18" s="24"/>
      <c r="H18" s="24"/>
      <c r="I18" s="24"/>
      <c r="J18" s="24"/>
      <c r="K18" s="24">
        <v>822000</v>
      </c>
      <c r="L18" s="24"/>
      <c r="M18" s="24">
        <v>4012678.928638</v>
      </c>
      <c r="N18" s="24"/>
      <c r="O18" s="24"/>
      <c r="P18" s="181">
        <f t="shared" si="4"/>
        <v>4428323.7353879996</v>
      </c>
      <c r="Q18" s="24">
        <f t="shared" si="1"/>
        <v>354265.89883103996</v>
      </c>
      <c r="R18" s="24">
        <v>25819.927685999999</v>
      </c>
      <c r="S18" s="24">
        <f>22650.05875+24.75</f>
        <v>22674.80875</v>
      </c>
      <c r="T18" s="24"/>
      <c r="U18" s="24"/>
      <c r="V18" s="24"/>
      <c r="W18" s="24"/>
      <c r="X18" s="24">
        <v>137010.5</v>
      </c>
      <c r="Y18" s="24"/>
      <c r="Z18" s="24">
        <v>4090905.6640920001</v>
      </c>
      <c r="AA18" s="24"/>
      <c r="AB18" s="24"/>
      <c r="AC18" s="181">
        <f t="shared" si="2"/>
        <v>4163945.8758419999</v>
      </c>
      <c r="AD18" s="24">
        <f t="shared" si="3"/>
        <v>333115.67006735998</v>
      </c>
    </row>
    <row r="19" spans="3:32" x14ac:dyDescent="0.2">
      <c r="C19" s="226">
        <v>10</v>
      </c>
      <c r="D19" s="17" t="s">
        <v>9</v>
      </c>
      <c r="E19" s="24"/>
      <c r="F19" s="24">
        <v>88.026071999999999</v>
      </c>
      <c r="G19" s="24"/>
      <c r="H19" s="24"/>
      <c r="I19" s="24"/>
      <c r="J19" s="24"/>
      <c r="K19" s="24"/>
      <c r="L19" s="24"/>
      <c r="M19" s="24">
        <v>23295.931020000004</v>
      </c>
      <c r="N19" s="24">
        <v>204591.03139999995</v>
      </c>
      <c r="O19" s="24"/>
      <c r="P19" s="181">
        <f>($R$7*E19)+($S$7*F19)+($T$7*G19)+($U$7*H19)+($V$7*I19)+($W$7*J19)+($X$7*K19)+($Y$7*L19)+($Z$7*M19)+($AA$7*N19)</f>
        <v>330200.08333439991</v>
      </c>
      <c r="Q19" s="24">
        <f t="shared" si="1"/>
        <v>26416.006666751993</v>
      </c>
      <c r="R19" s="24">
        <v>69.7</v>
      </c>
      <c r="S19" s="24">
        <v>232.64718999999999</v>
      </c>
      <c r="T19" s="24"/>
      <c r="U19" s="24"/>
      <c r="V19" s="24"/>
      <c r="W19" s="24"/>
      <c r="X19" s="24"/>
      <c r="Y19" s="24"/>
      <c r="Z19" s="24">
        <v>18707.090740999993</v>
      </c>
      <c r="AA19" s="24">
        <v>224366.87378100003</v>
      </c>
      <c r="AB19" s="24"/>
      <c r="AC19" s="181">
        <f t="shared" si="2"/>
        <v>355303.93085050007</v>
      </c>
      <c r="AD19" s="24">
        <f t="shared" si="3"/>
        <v>28424.314468040007</v>
      </c>
    </row>
    <row r="20" spans="3:32" x14ac:dyDescent="0.2">
      <c r="C20" s="226">
        <v>11</v>
      </c>
      <c r="D20" s="17" t="s">
        <v>10</v>
      </c>
      <c r="E20" s="24">
        <v>523583.79815400002</v>
      </c>
      <c r="F20" s="24"/>
      <c r="G20" s="24"/>
      <c r="H20" s="24"/>
      <c r="I20" s="24"/>
      <c r="J20" s="24"/>
      <c r="K20" s="24"/>
      <c r="L20" s="24"/>
      <c r="M20" s="24">
        <v>1843396.6704620002</v>
      </c>
      <c r="N20" s="24"/>
      <c r="O20" s="24"/>
      <c r="P20" s="181">
        <f>($R$7*E20)+($S$7*F20)+($T$7*G20)+($U$7*H20)+($V$7*I20)+($W$7*J20)+($X$7*K20)+($Y$7*L20)+($Z$7*M20)+($AA$7*N20)</f>
        <v>1843396.6704620002</v>
      </c>
      <c r="Q20" s="24">
        <f t="shared" si="1"/>
        <v>147471.73363696001</v>
      </c>
      <c r="R20" s="24">
        <v>535632.45498899999</v>
      </c>
      <c r="S20" s="24"/>
      <c r="T20" s="24"/>
      <c r="U20" s="24"/>
      <c r="V20" s="24"/>
      <c r="W20" s="24"/>
      <c r="X20" s="24"/>
      <c r="Y20" s="24"/>
      <c r="Z20" s="24">
        <v>1795887.85901</v>
      </c>
      <c r="AA20" s="24"/>
      <c r="AB20" s="24"/>
      <c r="AC20" s="181">
        <f t="shared" si="2"/>
        <v>1795887.85901</v>
      </c>
      <c r="AD20" s="24">
        <f t="shared" si="3"/>
        <v>143671.02872080001</v>
      </c>
    </row>
    <row r="21" spans="3:32" s="9" customFormat="1" x14ac:dyDescent="0.2">
      <c r="C21" s="10"/>
      <c r="D21" s="18" t="s">
        <v>51</v>
      </c>
      <c r="E21" s="26">
        <f>SUM(E10:E20)</f>
        <v>5659225.8130019996</v>
      </c>
      <c r="F21" s="26">
        <f t="shared" ref="F21:O21" si="5">SUM(F10:F20)</f>
        <v>3961582.8237330001</v>
      </c>
      <c r="G21" s="26">
        <f t="shared" si="5"/>
        <v>61193.158232000002</v>
      </c>
      <c r="H21" s="26">
        <f t="shared" si="5"/>
        <v>491882.830954</v>
      </c>
      <c r="I21" s="26">
        <f t="shared" si="5"/>
        <v>0</v>
      </c>
      <c r="J21" s="26">
        <f t="shared" si="5"/>
        <v>0</v>
      </c>
      <c r="K21" s="26">
        <f t="shared" si="5"/>
        <v>12223066.925396999</v>
      </c>
      <c r="L21" s="26">
        <f>SUM(L10:L20)</f>
        <v>939229.83099100005</v>
      </c>
      <c r="M21" s="26">
        <f>SUM(M10:M20)</f>
        <v>6030302.181144</v>
      </c>
      <c r="N21" s="26">
        <f>SUM(N10:N20)</f>
        <v>204591.03139999995</v>
      </c>
      <c r="O21" s="26">
        <f t="shared" si="5"/>
        <v>0</v>
      </c>
      <c r="P21" s="26">
        <f>SUM(P10:P20)</f>
        <v>14132918.409324247</v>
      </c>
      <c r="Q21" s="26">
        <f t="shared" ref="Q21" si="6">SUM(Q10:Q20)</f>
        <v>1130633.4727459399</v>
      </c>
      <c r="R21" s="26">
        <f>SUM(R10:R20)</f>
        <v>4700439.3594460003</v>
      </c>
      <c r="S21" s="26">
        <f t="shared" ref="S21:W21" si="7">SUM(S10:S20)</f>
        <v>2984415.7546139997</v>
      </c>
      <c r="T21" s="26">
        <f t="shared" si="7"/>
        <v>57211.192783999999</v>
      </c>
      <c r="U21" s="26">
        <f t="shared" si="7"/>
        <v>463108.96645599999</v>
      </c>
      <c r="V21" s="26">
        <f t="shared" si="7"/>
        <v>0</v>
      </c>
      <c r="W21" s="26">
        <f t="shared" si="7"/>
        <v>0</v>
      </c>
      <c r="X21" s="26">
        <f t="shared" ref="X21:AB21" si="8">SUM(X10:X20)</f>
        <v>11577540.480025001</v>
      </c>
      <c r="Y21" s="26">
        <f t="shared" si="8"/>
        <v>885752.82015999989</v>
      </c>
      <c r="Z21" s="26">
        <f t="shared" si="8"/>
        <v>6024190.2213279996</v>
      </c>
      <c r="AA21" s="26">
        <f t="shared" si="8"/>
        <v>224366.87378100003</v>
      </c>
      <c r="AB21" s="26">
        <f t="shared" si="8"/>
        <v>0</v>
      </c>
      <c r="AC21" s="26">
        <f>SUM(AC10:AC20)</f>
        <v>13587099.4745104</v>
      </c>
      <c r="AD21" s="26">
        <f t="shared" ref="AD21" si="9">SUM(AD10:AD20)</f>
        <v>1086967.9579608319</v>
      </c>
    </row>
    <row r="22" spans="3:32" x14ac:dyDescent="0.2">
      <c r="C22" s="226"/>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
      <c r="C24" s="226">
        <v>1</v>
      </c>
      <c r="D24" s="17" t="s">
        <v>0</v>
      </c>
      <c r="E24" s="24">
        <v>23850.906921200003</v>
      </c>
      <c r="F24" s="24"/>
      <c r="G24" s="24"/>
      <c r="H24" s="24"/>
      <c r="I24" s="24"/>
      <c r="J24" s="24"/>
      <c r="K24" s="24"/>
      <c r="L24" s="24"/>
      <c r="M24" s="24"/>
      <c r="N24" s="24"/>
      <c r="O24" s="24"/>
      <c r="P24" s="181">
        <f>($R$7*E24)+($S$7*F24)+($T$7*G24)+($U$7*H24)+($V$7*I24)+($W$7*J24)+($X$7*K24)+($Y$7*L24)+($Z$7*M24)+($AA$7*N24)</f>
        <v>0</v>
      </c>
      <c r="Q24" s="24">
        <f>P24*$AD$4</f>
        <v>0</v>
      </c>
      <c r="R24" s="24">
        <v>20191.167868000004</v>
      </c>
      <c r="S24" s="24"/>
      <c r="T24" s="24"/>
      <c r="U24" s="24"/>
      <c r="V24" s="24"/>
      <c r="W24" s="24"/>
      <c r="X24" s="24"/>
      <c r="Y24" s="24"/>
      <c r="Z24" s="24"/>
      <c r="AA24" s="24"/>
      <c r="AB24" s="24"/>
      <c r="AC24" s="181">
        <f>($R$7*R24)+($S$7*S24)+($T$7*T24)+($U$7*U24)+($V$7*V24)+($W$7*W24)+($X$7*X24)+($Y$7*Y24)+($Z$7*Z24)+($AA$7*AA24)</f>
        <v>0</v>
      </c>
      <c r="AD24" s="24">
        <f>AC24*$AD$4</f>
        <v>0</v>
      </c>
      <c r="AF24" s="119">
        <f>AC21+AC34</f>
        <v>13784411.059423724</v>
      </c>
    </row>
    <row r="25" spans="3:32" x14ac:dyDescent="0.2">
      <c r="C25" s="226">
        <v>2</v>
      </c>
      <c r="D25" s="17" t="s">
        <v>1</v>
      </c>
      <c r="E25" s="24"/>
      <c r="F25" s="24"/>
      <c r="G25" s="24"/>
      <c r="H25" s="24"/>
      <c r="I25" s="24"/>
      <c r="J25" s="24"/>
      <c r="K25" s="24">
        <f>2447.89648</f>
        <v>2447.8964799999999</v>
      </c>
      <c r="L25" s="24"/>
      <c r="M25" s="24"/>
      <c r="N25" s="24"/>
      <c r="O25" s="24"/>
      <c r="P25" s="181">
        <f t="shared" ref="P25:P33" si="10">($R$7*E25)+($S$7*F25)+($T$7*G25)+($U$7*H25)+($V$7*I25)+($W$7*J25)+($X$7*K25)+($Y$7*L25)+($Z$7*M25)+($AA$7*N25)</f>
        <v>1223.9482399999999</v>
      </c>
      <c r="Q25" s="24">
        <f t="shared" ref="Q25:Q33" si="11">P25*$AD$4</f>
        <v>97.9158592</v>
      </c>
      <c r="R25" s="24"/>
      <c r="S25" s="24"/>
      <c r="T25" s="24"/>
      <c r="U25" s="24"/>
      <c r="V25" s="24"/>
      <c r="W25" s="24"/>
      <c r="X25" s="24">
        <f>438.8031044+1047.55043</f>
        <v>1486.3535343999999</v>
      </c>
      <c r="Y25" s="24"/>
      <c r="Z25" s="24"/>
      <c r="AA25" s="24"/>
      <c r="AB25" s="24"/>
      <c r="AC25" s="181">
        <f>($R$7*R25)+($S$7*S25)+($T$7*T25)+($U$7*U25)+($V$7*V25)+($W$7*W25)+($X$7*X25)+($Y$7*Y25)+($Z$7*Z25)+($AA$7*AA25)</f>
        <v>743.17676719999997</v>
      </c>
      <c r="AD25" s="27">
        <f>AC25*$AD$4</f>
        <v>59.454141375999995</v>
      </c>
    </row>
    <row r="26" spans="3:32" x14ac:dyDescent="0.2">
      <c r="C26" s="226">
        <v>3</v>
      </c>
      <c r="D26" s="17" t="s">
        <v>2</v>
      </c>
      <c r="E26" s="24"/>
      <c r="F26" s="24"/>
      <c r="G26" s="24"/>
      <c r="H26" s="24"/>
      <c r="I26" s="24"/>
      <c r="J26" s="24"/>
      <c r="K26" s="24"/>
      <c r="L26" s="24"/>
      <c r="M26" s="24"/>
      <c r="N26" s="24"/>
      <c r="O26" s="24"/>
      <c r="P26" s="181">
        <f t="shared" si="10"/>
        <v>0</v>
      </c>
      <c r="Q26" s="24">
        <f t="shared" si="11"/>
        <v>0</v>
      </c>
      <c r="R26" s="24"/>
      <c r="S26" s="24"/>
      <c r="T26" s="24"/>
      <c r="U26" s="24"/>
      <c r="V26" s="24"/>
      <c r="W26" s="24"/>
      <c r="X26" s="24"/>
      <c r="Y26" s="24"/>
      <c r="Z26" s="24"/>
      <c r="AA26" s="24"/>
      <c r="AB26" s="24"/>
      <c r="AC26" s="181">
        <f t="shared" ref="AC26:AC32" si="12">($R$7*R26)+($S$7*S26)+($T$7*T26)+($U$7*U26)+($V$7*V26)+($W$7*W26)+($X$7*X26)+($Y$7*Y26)+($Z$7*Z26)+($AA$7*AA26)</f>
        <v>0</v>
      </c>
      <c r="AD26" s="24">
        <f t="shared" ref="AD26:AD33" si="13">AC26*$AD$4</f>
        <v>0</v>
      </c>
    </row>
    <row r="27" spans="3:32" x14ac:dyDescent="0.2">
      <c r="C27" s="226">
        <v>4</v>
      </c>
      <c r="D27" s="17" t="s">
        <v>3</v>
      </c>
      <c r="E27" s="24"/>
      <c r="F27" s="24"/>
      <c r="G27" s="24"/>
      <c r="H27" s="24"/>
      <c r="I27" s="24"/>
      <c r="J27" s="24"/>
      <c r="K27" s="24"/>
      <c r="L27" s="24"/>
      <c r="M27" s="24"/>
      <c r="N27" s="24"/>
      <c r="O27" s="24"/>
      <c r="P27" s="181">
        <f t="shared" si="10"/>
        <v>0</v>
      </c>
      <c r="Q27" s="24">
        <f t="shared" si="11"/>
        <v>0</v>
      </c>
      <c r="R27" s="24"/>
      <c r="S27" s="24"/>
      <c r="T27" s="24"/>
      <c r="U27" s="24"/>
      <c r="V27" s="24"/>
      <c r="W27" s="24"/>
      <c r="X27" s="24"/>
      <c r="Y27" s="24"/>
      <c r="Z27" s="24"/>
      <c r="AA27" s="24"/>
      <c r="AB27" s="24"/>
      <c r="AC27" s="181">
        <f t="shared" si="12"/>
        <v>0</v>
      </c>
      <c r="AD27" s="24">
        <f t="shared" si="13"/>
        <v>0</v>
      </c>
    </row>
    <row r="28" spans="3:32" x14ac:dyDescent="0.2">
      <c r="C28" s="226">
        <v>5</v>
      </c>
      <c r="D28" s="17" t="s">
        <v>4</v>
      </c>
      <c r="E28" s="24"/>
      <c r="F28" s="24"/>
      <c r="G28" s="24"/>
      <c r="H28" s="24"/>
      <c r="I28" s="24"/>
      <c r="J28" s="24"/>
      <c r="K28" s="24"/>
      <c r="L28" s="24"/>
      <c r="M28" s="24"/>
      <c r="N28" s="24"/>
      <c r="O28" s="24"/>
      <c r="P28" s="181">
        <f t="shared" si="10"/>
        <v>0</v>
      </c>
      <c r="Q28" s="24">
        <f t="shared" si="11"/>
        <v>0</v>
      </c>
      <c r="R28" s="24"/>
      <c r="S28" s="24"/>
      <c r="T28" s="24"/>
      <c r="U28" s="24"/>
      <c r="V28" s="24"/>
      <c r="W28" s="24"/>
      <c r="X28" s="24"/>
      <c r="Y28" s="24"/>
      <c r="Z28" s="24"/>
      <c r="AA28" s="24"/>
      <c r="AB28" s="24"/>
      <c r="AC28" s="181">
        <f t="shared" si="12"/>
        <v>0</v>
      </c>
      <c r="AD28" s="24">
        <f t="shared" si="13"/>
        <v>0</v>
      </c>
    </row>
    <row r="29" spans="3:32" x14ac:dyDescent="0.2">
      <c r="C29" s="226">
        <v>6</v>
      </c>
      <c r="D29" s="17" t="s">
        <v>5</v>
      </c>
      <c r="E29" s="24"/>
      <c r="F29" s="24"/>
      <c r="G29" s="24"/>
      <c r="H29" s="24"/>
      <c r="I29" s="24"/>
      <c r="J29" s="24"/>
      <c r="K29" s="24"/>
      <c r="L29" s="24"/>
      <c r="M29" s="24"/>
      <c r="N29" s="24"/>
      <c r="O29" s="24"/>
      <c r="P29" s="181">
        <f t="shared" si="10"/>
        <v>0</v>
      </c>
      <c r="Q29" s="24">
        <f t="shared" si="11"/>
        <v>0</v>
      </c>
      <c r="R29" s="24"/>
      <c r="S29" s="24"/>
      <c r="T29" s="24"/>
      <c r="U29" s="24"/>
      <c r="V29" s="24"/>
      <c r="W29" s="24"/>
      <c r="X29" s="24"/>
      <c r="Y29" s="24"/>
      <c r="Z29" s="24"/>
      <c r="AA29" s="24"/>
      <c r="AB29" s="24"/>
      <c r="AC29" s="181">
        <f t="shared" si="12"/>
        <v>0</v>
      </c>
      <c r="AD29" s="24">
        <f t="shared" si="13"/>
        <v>0</v>
      </c>
    </row>
    <row r="30" spans="3:32" x14ac:dyDescent="0.2">
      <c r="C30" s="226">
        <v>7</v>
      </c>
      <c r="D30" s="17" t="s">
        <v>6</v>
      </c>
      <c r="E30" s="24"/>
      <c r="F30" s="24"/>
      <c r="G30" s="24"/>
      <c r="H30" s="24"/>
      <c r="I30" s="24"/>
      <c r="J30" s="24"/>
      <c r="K30" s="24"/>
      <c r="L30" s="24"/>
      <c r="M30" s="24"/>
      <c r="N30" s="24"/>
      <c r="O30" s="24"/>
      <c r="P30" s="181">
        <f t="shared" si="10"/>
        <v>0</v>
      </c>
      <c r="Q30" s="24">
        <f t="shared" si="11"/>
        <v>0</v>
      </c>
      <c r="R30" s="24"/>
      <c r="S30" s="24"/>
      <c r="T30" s="24"/>
      <c r="U30" s="24"/>
      <c r="V30" s="24"/>
      <c r="W30" s="24"/>
      <c r="X30" s="24"/>
      <c r="Y30" s="24"/>
      <c r="Z30" s="24"/>
      <c r="AA30" s="24"/>
      <c r="AB30" s="24"/>
      <c r="AC30" s="181">
        <f t="shared" si="12"/>
        <v>0</v>
      </c>
      <c r="AD30" s="24">
        <f t="shared" si="13"/>
        <v>0</v>
      </c>
    </row>
    <row r="31" spans="3:32" x14ac:dyDescent="0.2">
      <c r="C31" s="226">
        <v>8</v>
      </c>
      <c r="D31" s="17" t="s">
        <v>7</v>
      </c>
      <c r="E31" s="24">
        <v>1872.69092</v>
      </c>
      <c r="F31" s="24"/>
      <c r="G31" s="24"/>
      <c r="H31" s="24"/>
      <c r="I31" s="24"/>
      <c r="J31" s="24"/>
      <c r="K31" s="24">
        <v>32960.346439499997</v>
      </c>
      <c r="L31" s="24">
        <v>23448.233731700006</v>
      </c>
      <c r="M31" s="24"/>
      <c r="N31" s="24"/>
      <c r="O31" s="24"/>
      <c r="P31" s="181">
        <f t="shared" si="10"/>
        <v>34066.348518525003</v>
      </c>
      <c r="Q31" s="24">
        <f t="shared" si="11"/>
        <v>2725.3078814820001</v>
      </c>
      <c r="R31" s="24">
        <v>1858.8481724999999</v>
      </c>
      <c r="S31" s="24"/>
      <c r="T31" s="24"/>
      <c r="U31" s="24"/>
      <c r="V31" s="24"/>
      <c r="W31" s="24"/>
      <c r="X31" s="24">
        <v>22265.558338499999</v>
      </c>
      <c r="Y31" s="24">
        <v>21653.562962300002</v>
      </c>
      <c r="Z31" s="24"/>
      <c r="AA31" s="24"/>
      <c r="AB31" s="24"/>
      <c r="AC31" s="181">
        <f t="shared" si="12"/>
        <v>27372.951390975002</v>
      </c>
      <c r="AD31" s="24">
        <f t="shared" si="13"/>
        <v>2189.8361112780003</v>
      </c>
    </row>
    <row r="32" spans="3:32" x14ac:dyDescent="0.2">
      <c r="C32" s="226">
        <v>9</v>
      </c>
      <c r="D32" s="17" t="s">
        <v>8</v>
      </c>
      <c r="E32" s="24">
        <v>113.26725500000001</v>
      </c>
      <c r="F32" s="24"/>
      <c r="G32" s="24"/>
      <c r="H32" s="24"/>
      <c r="I32" s="24"/>
      <c r="J32" s="24"/>
      <c r="K32" s="24">
        <v>19700.478102500001</v>
      </c>
      <c r="L32" s="24"/>
      <c r="M32" s="24">
        <v>149850.28731419999</v>
      </c>
      <c r="N32" s="24"/>
      <c r="O32" s="24"/>
      <c r="P32" s="181">
        <f t="shared" si="10"/>
        <v>159700.52636545</v>
      </c>
      <c r="Q32" s="24">
        <f t="shared" si="11"/>
        <v>12776.042109236001</v>
      </c>
      <c r="R32" s="24"/>
      <c r="S32" s="24"/>
      <c r="T32" s="24"/>
      <c r="U32" s="24"/>
      <c r="V32" s="24"/>
      <c r="W32" s="24"/>
      <c r="X32" s="24">
        <v>20047.940102500001</v>
      </c>
      <c r="Y32" s="24"/>
      <c r="Z32" s="24">
        <v>151256.31282190001</v>
      </c>
      <c r="AA32" s="24"/>
      <c r="AB32" s="24"/>
      <c r="AC32" s="181">
        <f t="shared" si="12"/>
        <v>161280.28287315002</v>
      </c>
      <c r="AD32" s="24">
        <f t="shared" si="13"/>
        <v>12902.422629852003</v>
      </c>
    </row>
    <row r="33" spans="3:30" x14ac:dyDescent="0.2">
      <c r="C33" s="226">
        <v>10</v>
      </c>
      <c r="D33" s="17" t="s">
        <v>9</v>
      </c>
      <c r="E33" s="24"/>
      <c r="F33" s="24"/>
      <c r="G33" s="24"/>
      <c r="H33" s="24"/>
      <c r="I33" s="24"/>
      <c r="J33" s="24"/>
      <c r="K33" s="24"/>
      <c r="L33" s="24"/>
      <c r="M33" s="24"/>
      <c r="N33" s="24">
        <v>2511.4489509999999</v>
      </c>
      <c r="O33" s="24"/>
      <c r="P33" s="181">
        <f t="shared" si="10"/>
        <v>3767.1734264999996</v>
      </c>
      <c r="Q33" s="24">
        <f t="shared" si="11"/>
        <v>301.37387411999998</v>
      </c>
      <c r="R33" s="24"/>
      <c r="S33" s="24"/>
      <c r="T33" s="24"/>
      <c r="U33" s="24"/>
      <c r="V33" s="24"/>
      <c r="W33" s="24"/>
      <c r="X33" s="24"/>
      <c r="Y33" s="24"/>
      <c r="Z33" s="24"/>
      <c r="AA33" s="24">
        <v>5276.782588</v>
      </c>
      <c r="AB33" s="24"/>
      <c r="AC33" s="181">
        <f>($R$7*R33)+($S$7*S33)+($T$7*T33)+($U$7*U33)+($V$7*V33)+($W$7*W33)+($X$7*X33)+($Y$7*Y33)+($Z$7*Z33)+($AA$7*AA33)</f>
        <v>7915.173882</v>
      </c>
      <c r="AD33" s="24">
        <f t="shared" si="13"/>
        <v>633.21391056000004</v>
      </c>
    </row>
    <row r="34" spans="3:30" s="9" customFormat="1" x14ac:dyDescent="0.2">
      <c r="C34" s="10"/>
      <c r="D34" s="18" t="s">
        <v>51</v>
      </c>
      <c r="E34" s="26">
        <f>SUM(E24:E33)</f>
        <v>25836.865096200003</v>
      </c>
      <c r="F34" s="26">
        <f t="shared" ref="F34:O34" si="14">SUM(F24:F33)</f>
        <v>0</v>
      </c>
      <c r="G34" s="26"/>
      <c r="H34" s="26">
        <f t="shared" si="14"/>
        <v>0</v>
      </c>
      <c r="I34" s="26">
        <f t="shared" si="14"/>
        <v>0</v>
      </c>
      <c r="J34" s="26">
        <f t="shared" si="14"/>
        <v>0</v>
      </c>
      <c r="K34" s="26">
        <f t="shared" si="14"/>
        <v>55108.721021999998</v>
      </c>
      <c r="L34" s="26">
        <f t="shared" si="14"/>
        <v>23448.233731700006</v>
      </c>
      <c r="M34" s="26">
        <f t="shared" si="14"/>
        <v>149850.28731419999</v>
      </c>
      <c r="N34" s="26">
        <f t="shared" si="14"/>
        <v>2511.4489509999999</v>
      </c>
      <c r="O34" s="26">
        <f t="shared" si="14"/>
        <v>0</v>
      </c>
      <c r="P34" s="26">
        <f>SUM(P24:P33)</f>
        <v>198757.99655047501</v>
      </c>
      <c r="Q34" s="26">
        <f t="shared" ref="Q34" si="15">SUM(Q24:Q33)</f>
        <v>15900.639724038001</v>
      </c>
      <c r="R34" s="26">
        <f>SUM(R24:R33)</f>
        <v>22050.016040500002</v>
      </c>
      <c r="S34" s="26">
        <f t="shared" ref="S34" si="16">SUM(S24:S33)</f>
        <v>0</v>
      </c>
      <c r="T34" s="26"/>
      <c r="U34" s="26">
        <f t="shared" ref="U34:AB34" si="17">SUM(U24:U33)</f>
        <v>0</v>
      </c>
      <c r="V34" s="26">
        <f t="shared" si="17"/>
        <v>0</v>
      </c>
      <c r="W34" s="26">
        <f t="shared" si="17"/>
        <v>0</v>
      </c>
      <c r="X34" s="26">
        <f t="shared" si="17"/>
        <v>43799.851975400001</v>
      </c>
      <c r="Y34" s="26">
        <f t="shared" si="17"/>
        <v>21653.562962300002</v>
      </c>
      <c r="Z34" s="26">
        <f t="shared" si="17"/>
        <v>151256.31282190001</v>
      </c>
      <c r="AA34" s="26">
        <f t="shared" si="17"/>
        <v>5276.782588</v>
      </c>
      <c r="AB34" s="26">
        <f t="shared" si="17"/>
        <v>0</v>
      </c>
      <c r="AC34" s="26">
        <f>SUM(AC24:AC33)</f>
        <v>197311.58491332503</v>
      </c>
      <c r="AD34" s="26">
        <f t="shared" ref="AD34" si="18">SUM(AD24:AD33)</f>
        <v>15784.926793066003</v>
      </c>
    </row>
    <row r="35" spans="3:30" x14ac:dyDescent="0.2">
      <c r="C35" s="226"/>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
      <c r="C37" s="226">
        <v>1</v>
      </c>
      <c r="D37" s="17" t="s">
        <v>0</v>
      </c>
      <c r="E37" s="24">
        <v>615949.23628700001</v>
      </c>
      <c r="F37" s="24"/>
      <c r="G37" s="24"/>
      <c r="H37" s="24"/>
      <c r="I37" s="24"/>
      <c r="J37" s="24"/>
      <c r="K37" s="24"/>
      <c r="L37" s="24"/>
      <c r="M37" s="24"/>
      <c r="N37" s="24"/>
      <c r="O37" s="24"/>
      <c r="P37" s="24">
        <f t="shared" ref="P37:P44" si="19">($R$7*E37)+($S$7*F37)+($U$7*H37)+($V$7*I37)+($W$7*J37)+($X$7*K37)+($Y$7*L37)+($Z$7*M37)+($AA$7*N37)</f>
        <v>0</v>
      </c>
      <c r="Q37" s="24">
        <f t="shared" ref="Q37:Q43" si="20">P37*$AD$4</f>
        <v>0</v>
      </c>
      <c r="R37" s="24">
        <v>527192.259968</v>
      </c>
      <c r="S37" s="24"/>
      <c r="T37" s="24"/>
      <c r="U37" s="24"/>
      <c r="V37" s="24"/>
      <c r="W37" s="24"/>
      <c r="X37" s="24"/>
      <c r="Y37" s="24"/>
      <c r="Z37" s="24"/>
      <c r="AA37" s="24"/>
      <c r="AB37" s="24"/>
      <c r="AC37" s="24">
        <f t="shared" ref="AC37:AC44" si="21">($R$7*R37)+($S$7*S37)+($U$7*U37)+($V$7*V37)+($W$7*W37)+($X$7*X37)+($Y$7*Y37)+($Z$7*Z37)+($AA$7*AA37)</f>
        <v>0</v>
      </c>
      <c r="AD37" s="24">
        <f t="shared" ref="AD37:AD43" si="22">AC37*$AD$4</f>
        <v>0</v>
      </c>
    </row>
    <row r="38" spans="3:30" x14ac:dyDescent="0.2">
      <c r="C38" s="226">
        <v>2</v>
      </c>
      <c r="D38" s="17" t="s">
        <v>1</v>
      </c>
      <c r="E38" s="24"/>
      <c r="F38" s="24"/>
      <c r="G38" s="24"/>
      <c r="H38" s="24"/>
      <c r="I38" s="24"/>
      <c r="J38" s="24"/>
      <c r="K38" s="24"/>
      <c r="L38" s="24"/>
      <c r="M38" s="24"/>
      <c r="N38" s="24"/>
      <c r="O38" s="24"/>
      <c r="P38" s="24">
        <f t="shared" si="19"/>
        <v>0</v>
      </c>
      <c r="Q38" s="24">
        <f t="shared" si="20"/>
        <v>0</v>
      </c>
      <c r="R38" s="24"/>
      <c r="S38" s="24"/>
      <c r="T38" s="24"/>
      <c r="U38" s="24"/>
      <c r="V38" s="24"/>
      <c r="W38" s="24"/>
      <c r="X38" s="24"/>
      <c r="Y38" s="24"/>
      <c r="Z38" s="24"/>
      <c r="AA38" s="24"/>
      <c r="AB38" s="24"/>
      <c r="AC38" s="24">
        <f t="shared" si="21"/>
        <v>0</v>
      </c>
      <c r="AD38" s="24">
        <f t="shared" si="22"/>
        <v>0</v>
      </c>
    </row>
    <row r="39" spans="3:30" x14ac:dyDescent="0.2">
      <c r="C39" s="226">
        <v>3</v>
      </c>
      <c r="D39" s="17" t="s">
        <v>2</v>
      </c>
      <c r="E39" s="24"/>
      <c r="F39" s="24"/>
      <c r="G39" s="24"/>
      <c r="H39" s="24"/>
      <c r="I39" s="24"/>
      <c r="J39" s="24"/>
      <c r="K39" s="24"/>
      <c r="L39" s="24"/>
      <c r="M39" s="24"/>
      <c r="N39" s="24"/>
      <c r="O39" s="24"/>
      <c r="P39" s="24">
        <f t="shared" si="19"/>
        <v>0</v>
      </c>
      <c r="Q39" s="24">
        <f t="shared" si="20"/>
        <v>0</v>
      </c>
      <c r="R39" s="24"/>
      <c r="S39" s="24"/>
      <c r="T39" s="24"/>
      <c r="U39" s="24"/>
      <c r="V39" s="24"/>
      <c r="W39" s="24"/>
      <c r="X39" s="24"/>
      <c r="Y39" s="24"/>
      <c r="Z39" s="24"/>
      <c r="AA39" s="24"/>
      <c r="AB39" s="24"/>
      <c r="AC39" s="24">
        <f t="shared" si="21"/>
        <v>0</v>
      </c>
      <c r="AD39" s="24">
        <f t="shared" si="22"/>
        <v>0</v>
      </c>
    </row>
    <row r="40" spans="3:30" x14ac:dyDescent="0.2">
      <c r="C40" s="226">
        <v>4</v>
      </c>
      <c r="D40" s="17" t="s">
        <v>3</v>
      </c>
      <c r="E40" s="24"/>
      <c r="F40" s="24"/>
      <c r="G40" s="24"/>
      <c r="H40" s="24"/>
      <c r="I40" s="24"/>
      <c r="J40" s="24"/>
      <c r="K40" s="24"/>
      <c r="L40" s="24"/>
      <c r="M40" s="24"/>
      <c r="N40" s="24"/>
      <c r="O40" s="24"/>
      <c r="P40" s="24">
        <f t="shared" si="19"/>
        <v>0</v>
      </c>
      <c r="Q40" s="24">
        <f t="shared" si="20"/>
        <v>0</v>
      </c>
      <c r="R40" s="24"/>
      <c r="S40" s="24"/>
      <c r="T40" s="24"/>
      <c r="U40" s="24"/>
      <c r="V40" s="24"/>
      <c r="W40" s="24"/>
      <c r="X40" s="24"/>
      <c r="Y40" s="24"/>
      <c r="Z40" s="24"/>
      <c r="AA40" s="24"/>
      <c r="AB40" s="24"/>
      <c r="AC40" s="24">
        <f t="shared" si="21"/>
        <v>0</v>
      </c>
      <c r="AD40" s="24">
        <f t="shared" si="22"/>
        <v>0</v>
      </c>
    </row>
    <row r="41" spans="3:30" x14ac:dyDescent="0.2">
      <c r="C41" s="226">
        <v>8</v>
      </c>
      <c r="D41" s="17" t="s">
        <v>7</v>
      </c>
      <c r="E41" s="24"/>
      <c r="F41" s="24"/>
      <c r="G41" s="24"/>
      <c r="H41" s="24"/>
      <c r="I41" s="24"/>
      <c r="J41" s="24"/>
      <c r="K41" s="24"/>
      <c r="L41" s="24"/>
      <c r="M41" s="24"/>
      <c r="N41" s="24"/>
      <c r="O41" s="24"/>
      <c r="P41" s="24">
        <f t="shared" si="19"/>
        <v>0</v>
      </c>
      <c r="Q41" s="24">
        <f t="shared" si="20"/>
        <v>0</v>
      </c>
      <c r="R41" s="24"/>
      <c r="S41" s="24"/>
      <c r="T41" s="24"/>
      <c r="U41" s="24"/>
      <c r="V41" s="24"/>
      <c r="W41" s="24"/>
      <c r="X41" s="24"/>
      <c r="Y41" s="24"/>
      <c r="Z41" s="24"/>
      <c r="AA41" s="24"/>
      <c r="AB41" s="24"/>
      <c r="AC41" s="24">
        <f t="shared" si="21"/>
        <v>0</v>
      </c>
      <c r="AD41" s="24">
        <f t="shared" si="22"/>
        <v>0</v>
      </c>
    </row>
    <row r="42" spans="3:30" x14ac:dyDescent="0.2">
      <c r="C42" s="226">
        <v>9</v>
      </c>
      <c r="D42" s="17" t="s">
        <v>8</v>
      </c>
      <c r="E42" s="24"/>
      <c r="F42" s="24"/>
      <c r="G42" s="24"/>
      <c r="H42" s="24"/>
      <c r="I42" s="24"/>
      <c r="J42" s="24"/>
      <c r="K42" s="24"/>
      <c r="L42" s="24"/>
      <c r="M42" s="24"/>
      <c r="N42" s="24"/>
      <c r="O42" s="24"/>
      <c r="P42" s="24">
        <f t="shared" si="19"/>
        <v>0</v>
      </c>
      <c r="Q42" s="24">
        <f t="shared" si="20"/>
        <v>0</v>
      </c>
      <c r="R42" s="24"/>
      <c r="S42" s="24"/>
      <c r="T42" s="24"/>
      <c r="U42" s="24"/>
      <c r="V42" s="24"/>
      <c r="W42" s="24"/>
      <c r="X42" s="24"/>
      <c r="Y42" s="24"/>
      <c r="Z42" s="24"/>
      <c r="AA42" s="24"/>
      <c r="AB42" s="24"/>
      <c r="AC42" s="24">
        <f t="shared" si="21"/>
        <v>0</v>
      </c>
      <c r="AD42" s="24">
        <f t="shared" si="22"/>
        <v>0</v>
      </c>
    </row>
    <row r="43" spans="3:30" x14ac:dyDescent="0.2">
      <c r="C43" s="226">
        <v>10</v>
      </c>
      <c r="D43" s="17" t="s">
        <v>9</v>
      </c>
      <c r="E43" s="24"/>
      <c r="F43" s="24"/>
      <c r="G43" s="24"/>
      <c r="H43" s="24"/>
      <c r="I43" s="24"/>
      <c r="J43" s="24"/>
      <c r="K43" s="24"/>
      <c r="L43" s="24"/>
      <c r="M43" s="24"/>
      <c r="N43" s="24"/>
      <c r="O43" s="24"/>
      <c r="P43" s="24">
        <f t="shared" si="19"/>
        <v>0</v>
      </c>
      <c r="Q43" s="24">
        <f t="shared" si="20"/>
        <v>0</v>
      </c>
      <c r="R43" s="24"/>
      <c r="S43" s="24"/>
      <c r="T43" s="24"/>
      <c r="U43" s="24"/>
      <c r="V43" s="24"/>
      <c r="W43" s="24"/>
      <c r="X43" s="24"/>
      <c r="Y43" s="24"/>
      <c r="Z43" s="24"/>
      <c r="AA43" s="24"/>
      <c r="AB43" s="24"/>
      <c r="AC43" s="24">
        <f t="shared" si="21"/>
        <v>0</v>
      </c>
      <c r="AD43" s="24">
        <f t="shared" si="22"/>
        <v>0</v>
      </c>
    </row>
    <row r="44" spans="3:30" s="9" customFormat="1" x14ac:dyDescent="0.2">
      <c r="C44" s="10"/>
      <c r="D44" s="18" t="s">
        <v>56</v>
      </c>
      <c r="E44" s="26">
        <f t="shared" ref="E44:O44" si="23">SUM(E37:E43)</f>
        <v>615949.23628700001</v>
      </c>
      <c r="F44" s="26">
        <f t="shared" si="23"/>
        <v>0</v>
      </c>
      <c r="G44" s="26"/>
      <c r="H44" s="26">
        <f t="shared" si="23"/>
        <v>0</v>
      </c>
      <c r="I44" s="26">
        <f t="shared" si="23"/>
        <v>0</v>
      </c>
      <c r="J44" s="26">
        <f t="shared" si="23"/>
        <v>0</v>
      </c>
      <c r="K44" s="26">
        <f t="shared" si="23"/>
        <v>0</v>
      </c>
      <c r="L44" s="26">
        <f t="shared" si="23"/>
        <v>0</v>
      </c>
      <c r="M44" s="26">
        <f t="shared" si="23"/>
        <v>0</v>
      </c>
      <c r="N44" s="26">
        <f t="shared" si="23"/>
        <v>0</v>
      </c>
      <c r="O44" s="26">
        <f t="shared" si="23"/>
        <v>0</v>
      </c>
      <c r="P44" s="24">
        <f t="shared" si="19"/>
        <v>0</v>
      </c>
      <c r="Q44" s="26">
        <f t="shared" ref="Q44" si="24">SUM(Q37:Q43)</f>
        <v>0</v>
      </c>
      <c r="R44" s="26">
        <f>SUM(R37:R43)</f>
        <v>527192.259968</v>
      </c>
      <c r="S44" s="26">
        <f t="shared" ref="S44:AD44" si="25">SUM(S37:S43)</f>
        <v>0</v>
      </c>
      <c r="T44" s="26"/>
      <c r="U44" s="26">
        <f t="shared" si="25"/>
        <v>0</v>
      </c>
      <c r="V44" s="26">
        <f t="shared" si="25"/>
        <v>0</v>
      </c>
      <c r="W44" s="26">
        <f t="shared" si="25"/>
        <v>0</v>
      </c>
      <c r="X44" s="26">
        <f t="shared" si="25"/>
        <v>0</v>
      </c>
      <c r="Y44" s="26">
        <f t="shared" si="25"/>
        <v>0</v>
      </c>
      <c r="Z44" s="26">
        <f t="shared" si="25"/>
        <v>0</v>
      </c>
      <c r="AA44" s="26">
        <f t="shared" si="25"/>
        <v>0</v>
      </c>
      <c r="AB44" s="26">
        <f t="shared" si="25"/>
        <v>0</v>
      </c>
      <c r="AC44" s="24">
        <f t="shared" si="21"/>
        <v>0</v>
      </c>
      <c r="AD44" s="26">
        <f t="shared" si="25"/>
        <v>0</v>
      </c>
    </row>
    <row r="47" spans="3:30" x14ac:dyDescent="0.2">
      <c r="C47" s="3" t="s">
        <v>22</v>
      </c>
      <c r="D47" s="6" t="s">
        <v>125</v>
      </c>
    </row>
    <row r="48" spans="3:30" x14ac:dyDescent="0.2">
      <c r="D48" s="8" t="s">
        <v>76</v>
      </c>
    </row>
  </sheetData>
  <mergeCells count="10">
    <mergeCell ref="AC5:AC7"/>
    <mergeCell ref="AD5:AD7"/>
    <mergeCell ref="E6:O6"/>
    <mergeCell ref="R6:AB6"/>
    <mergeCell ref="C5:C7"/>
    <mergeCell ref="D5:D7"/>
    <mergeCell ref="E5:O5"/>
    <mergeCell ref="P5:P7"/>
    <mergeCell ref="Q5:Q7"/>
    <mergeCell ref="R5:AB5"/>
  </mergeCells>
  <pageMargins left="0.11811023622047245" right="0.78740157480314965" top="0.6692913385826772" bottom="0.74803149606299213" header="0.31496062992125984" footer="0.31496062992125984"/>
  <pageSetup paperSize="5" scale="55" orientation="landscape" r:id="rId1"/>
  <colBreaks count="1" manualBreakCount="1">
    <brk id="30" max="1048575"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topLeftCell="C1" zoomScaleNormal="100" workbookViewId="0">
      <pane xSplit="2" ySplit="7" topLeftCell="E8" activePane="bottomRight" state="frozen"/>
      <selection activeCell="C1" sqref="C1"/>
      <selection pane="topRight" activeCell="E1" sqref="E1"/>
      <selection pane="bottomLeft" activeCell="C8" sqref="C8"/>
      <selection pane="bottomRight" activeCell="E16" sqref="E16"/>
    </sheetView>
  </sheetViews>
  <sheetFormatPr defaultColWidth="8.7109375" defaultRowHeight="11.25" x14ac:dyDescent="0.2"/>
  <cols>
    <col min="1" max="1" width="2.140625" style="6" bestFit="1" customWidth="1"/>
    <col min="2" max="2" width="2.42578125" style="6" customWidth="1"/>
    <col min="3" max="3" width="3.42578125" style="22" customWidth="1"/>
    <col min="4" max="4" width="49.140625" style="6" bestFit="1" customWidth="1"/>
    <col min="5" max="6" width="8.7109375" style="6" bestFit="1" customWidth="1"/>
    <col min="7" max="7" width="8.7109375" style="6" customWidth="1"/>
    <col min="8" max="10" width="8.140625" style="6" customWidth="1"/>
    <col min="11" max="11" width="9.5703125" style="6" bestFit="1" customWidth="1"/>
    <col min="12" max="12" width="8.140625" style="6" customWidth="1"/>
    <col min="13" max="13" width="8.7109375" style="6" bestFit="1" customWidth="1"/>
    <col min="14" max="15" width="8.140625" style="6" customWidth="1"/>
    <col min="16" max="16" width="9.5703125" style="6" bestFit="1" customWidth="1"/>
    <col min="17" max="17" width="8.42578125" style="6" customWidth="1"/>
    <col min="18" max="19" width="8.7109375" style="6" bestFit="1" customWidth="1"/>
    <col min="20" max="20" width="8.7109375" style="6" customWidth="1"/>
    <col min="21" max="23" width="8.140625" style="6" customWidth="1"/>
    <col min="24" max="24" width="9.5703125" style="6" bestFit="1" customWidth="1"/>
    <col min="25" max="25" width="8.140625" style="6" customWidth="1"/>
    <col min="26" max="26" width="8.7109375" style="6" bestFit="1" customWidth="1"/>
    <col min="27" max="28" width="8.140625" style="6" customWidth="1"/>
    <col min="29" max="29" width="10.85546875" style="6" bestFit="1" customWidth="1"/>
    <col min="30" max="30" width="8.42578125" style="6" customWidth="1"/>
    <col min="31" max="31" width="8.7109375" style="6"/>
    <col min="32" max="32" width="9.5703125" style="6" bestFit="1" customWidth="1"/>
    <col min="33" max="16384" width="8.7109375" style="6"/>
  </cols>
  <sheetData>
    <row r="1" spans="1:42" x14ac:dyDescent="0.2">
      <c r="A1" s="6" t="s">
        <v>12</v>
      </c>
      <c r="B1" s="6" t="s">
        <v>13</v>
      </c>
    </row>
    <row r="2" spans="1:42" x14ac:dyDescent="0.2">
      <c r="B2" s="6" t="s">
        <v>14</v>
      </c>
      <c r="C2" s="100" t="s">
        <v>15</v>
      </c>
      <c r="I2" s="6">
        <v>489443.19333099999</v>
      </c>
    </row>
    <row r="3" spans="1:42" x14ac:dyDescent="0.2">
      <c r="C3" s="3" t="s">
        <v>17</v>
      </c>
      <c r="D3" s="6" t="s">
        <v>16</v>
      </c>
      <c r="AD3" s="19" t="s">
        <v>239</v>
      </c>
    </row>
    <row r="4" spans="1:42" x14ac:dyDescent="0.2">
      <c r="AC4" s="137" t="s">
        <v>27</v>
      </c>
      <c r="AD4" s="223">
        <v>0.08</v>
      </c>
      <c r="AP4" s="19" t="s">
        <v>57</v>
      </c>
    </row>
    <row r="5" spans="1:42" s="20" customFormat="1" ht="14.45" customHeight="1" x14ac:dyDescent="0.25">
      <c r="C5" s="281" t="s">
        <v>18</v>
      </c>
      <c r="D5" s="281" t="s">
        <v>19</v>
      </c>
      <c r="E5" s="274" t="s">
        <v>245</v>
      </c>
      <c r="F5" s="274"/>
      <c r="G5" s="274"/>
      <c r="H5" s="274"/>
      <c r="I5" s="274"/>
      <c r="J5" s="274"/>
      <c r="K5" s="274"/>
      <c r="L5" s="274"/>
      <c r="M5" s="274"/>
      <c r="N5" s="274"/>
      <c r="O5" s="274"/>
      <c r="P5" s="281" t="s">
        <v>26</v>
      </c>
      <c r="Q5" s="280" t="s">
        <v>27</v>
      </c>
      <c r="R5" s="274" t="s">
        <v>243</v>
      </c>
      <c r="S5" s="274"/>
      <c r="T5" s="274"/>
      <c r="U5" s="274"/>
      <c r="V5" s="274"/>
      <c r="W5" s="274"/>
      <c r="X5" s="274"/>
      <c r="Y5" s="274"/>
      <c r="Z5" s="274"/>
      <c r="AA5" s="274"/>
      <c r="AB5" s="274"/>
      <c r="AC5" s="281" t="s">
        <v>26</v>
      </c>
      <c r="AD5" s="280" t="s">
        <v>27</v>
      </c>
    </row>
    <row r="6" spans="1:42" s="20" customFormat="1" x14ac:dyDescent="0.25">
      <c r="C6" s="281"/>
      <c r="D6" s="281"/>
      <c r="E6" s="281" t="s">
        <v>24</v>
      </c>
      <c r="F6" s="281"/>
      <c r="G6" s="281"/>
      <c r="H6" s="281"/>
      <c r="I6" s="281"/>
      <c r="J6" s="281"/>
      <c r="K6" s="281"/>
      <c r="L6" s="281"/>
      <c r="M6" s="281"/>
      <c r="N6" s="281"/>
      <c r="O6" s="281"/>
      <c r="P6" s="281"/>
      <c r="Q6" s="280"/>
      <c r="R6" s="281" t="s">
        <v>24</v>
      </c>
      <c r="S6" s="281"/>
      <c r="T6" s="281"/>
      <c r="U6" s="281"/>
      <c r="V6" s="281"/>
      <c r="W6" s="281"/>
      <c r="X6" s="281"/>
      <c r="Y6" s="281"/>
      <c r="Z6" s="281"/>
      <c r="AA6" s="281"/>
      <c r="AB6" s="281"/>
      <c r="AC6" s="281"/>
      <c r="AD6" s="280"/>
    </row>
    <row r="7" spans="1:42" s="21" customFormat="1" x14ac:dyDescent="0.25">
      <c r="C7" s="281"/>
      <c r="D7" s="281"/>
      <c r="E7" s="101">
        <v>0</v>
      </c>
      <c r="F7" s="101">
        <v>0.2</v>
      </c>
      <c r="G7" s="101">
        <v>0.25</v>
      </c>
      <c r="H7" s="101">
        <v>0.35</v>
      </c>
      <c r="I7" s="101">
        <v>0.4</v>
      </c>
      <c r="J7" s="101">
        <v>0.45</v>
      </c>
      <c r="K7" s="101">
        <v>0.5</v>
      </c>
      <c r="L7" s="101">
        <v>0.75</v>
      </c>
      <c r="M7" s="101">
        <v>1</v>
      </c>
      <c r="N7" s="101">
        <v>1.5</v>
      </c>
      <c r="O7" s="207" t="s">
        <v>25</v>
      </c>
      <c r="P7" s="281"/>
      <c r="Q7" s="280"/>
      <c r="R7" s="101">
        <v>0</v>
      </c>
      <c r="S7" s="101">
        <v>0.2</v>
      </c>
      <c r="T7" s="101">
        <v>0.25</v>
      </c>
      <c r="U7" s="101">
        <v>0.35</v>
      </c>
      <c r="V7" s="101">
        <v>0.4</v>
      </c>
      <c r="W7" s="101">
        <v>0.45</v>
      </c>
      <c r="X7" s="101">
        <v>0.5</v>
      </c>
      <c r="Y7" s="101">
        <v>0.75</v>
      </c>
      <c r="Z7" s="101">
        <v>1</v>
      </c>
      <c r="AA7" s="101">
        <v>1.5</v>
      </c>
      <c r="AB7" s="207" t="s">
        <v>25</v>
      </c>
      <c r="AC7" s="281"/>
      <c r="AD7" s="280"/>
    </row>
    <row r="8" spans="1:42" s="11" customFormat="1" ht="12" customHeight="1" x14ac:dyDescent="0.2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
      <c r="C10" s="206">
        <v>1</v>
      </c>
      <c r="D10" s="17" t="s">
        <v>0</v>
      </c>
      <c r="E10" s="24">
        <v>4127132.797032</v>
      </c>
      <c r="F10" s="24"/>
      <c r="G10" s="24"/>
      <c r="H10" s="24"/>
      <c r="I10" s="24"/>
      <c r="J10" s="24"/>
      <c r="K10" s="24"/>
      <c r="L10" s="24"/>
      <c r="M10" s="24"/>
      <c r="N10" s="24"/>
      <c r="O10" s="24"/>
      <c r="P10" s="181">
        <f>($R$7*E10)+($S$7*F10)+($T$7*G10)+($U$7*H10)+($V$7*I10)+($W$7*J10)+($X$7*K10)+($Y$7*L10)+($Z$7*M10)+($AA$7*N10)</f>
        <v>0</v>
      </c>
      <c r="Q10" s="24">
        <f>P10*$AD$4</f>
        <v>0</v>
      </c>
      <c r="R10" s="24">
        <v>4912588.1720130006</v>
      </c>
      <c r="S10" s="24"/>
      <c r="T10" s="24"/>
      <c r="U10" s="24"/>
      <c r="V10" s="24"/>
      <c r="W10" s="24"/>
      <c r="X10" s="24"/>
      <c r="Y10" s="24"/>
      <c r="Z10" s="24"/>
      <c r="AA10" s="24"/>
      <c r="AB10" s="24"/>
      <c r="AC10" s="24">
        <f>R10*R7</f>
        <v>0</v>
      </c>
      <c r="AD10" s="24">
        <f>AC10*$AD$4</f>
        <v>0</v>
      </c>
    </row>
    <row r="11" spans="1:42" x14ac:dyDescent="0.2">
      <c r="C11" s="206">
        <v>2</v>
      </c>
      <c r="D11" s="17" t="s">
        <v>1</v>
      </c>
      <c r="E11" s="24"/>
      <c r="F11" s="24">
        <v>31538.3</v>
      </c>
      <c r="G11" s="24"/>
      <c r="H11" s="24"/>
      <c r="I11" s="24"/>
      <c r="J11" s="24"/>
      <c r="K11" s="24">
        <v>2862.9844779999999</v>
      </c>
      <c r="L11" s="24"/>
      <c r="M11" s="24"/>
      <c r="N11" s="24"/>
      <c r="O11" s="24"/>
      <c r="P11" s="181">
        <f>($R$7*E11)+($S$7*F11)+($T$7*G11)+($U$7*H11)+($V$7*I11)+($W$7*J11)+($X$7*K11)+($Y$7*L11)+($Z$7*M11)+($AA$7*N11)</f>
        <v>7739.152239</v>
      </c>
      <c r="Q11" s="27">
        <f>P11*$AD$4</f>
        <v>619.13217912000005</v>
      </c>
      <c r="R11" s="24"/>
      <c r="S11" s="24">
        <v>43992.41</v>
      </c>
      <c r="T11" s="24"/>
      <c r="U11" s="24"/>
      <c r="V11" s="24"/>
      <c r="W11" s="24"/>
      <c r="X11" s="24">
        <f>19735.2+1178.324932</f>
        <v>20913.524932</v>
      </c>
      <c r="Y11" s="24"/>
      <c r="Z11" s="24"/>
      <c r="AA11" s="24"/>
      <c r="AB11" s="24"/>
      <c r="AC11" s="181">
        <f>($R$7*R11)+($S$7*S11)+($T$7*T11)+($U$7*U11)+($V$7*V11)+($W$7*W11)+($X$7*X11)+($Y$7*Y11)+($Z$7*Z11)+($AA$7*AA11)</f>
        <v>19255.244466000004</v>
      </c>
      <c r="AD11" s="24">
        <f>AC11*$AD$4</f>
        <v>1540.4195572800004</v>
      </c>
    </row>
    <row r="12" spans="1:42" x14ac:dyDescent="0.2">
      <c r="C12" s="206">
        <v>3</v>
      </c>
      <c r="D12" s="17" t="s">
        <v>2</v>
      </c>
      <c r="E12" s="24"/>
      <c r="F12" s="24"/>
      <c r="G12" s="24"/>
      <c r="H12" s="24"/>
      <c r="I12" s="24"/>
      <c r="J12" s="24"/>
      <c r="K12" s="24"/>
      <c r="L12" s="24"/>
      <c r="M12" s="24"/>
      <c r="N12" s="24"/>
      <c r="O12" s="24"/>
      <c r="P12" s="181">
        <f t="shared" ref="P12:P13" si="0">($R$7*E12)+($S$7*F12)+($T$7*G12)+($U$7*H12)+($V$7*I12)+($W$7*J12)+($X$7*K12)+($Y$7*L12)+($Z$7*M12)+($AA$7*N12)</f>
        <v>0</v>
      </c>
      <c r="Q12" s="24">
        <f t="shared" ref="Q12:Q20" si="1">P12*$AD$4</f>
        <v>0</v>
      </c>
      <c r="R12" s="24"/>
      <c r="S12" s="24"/>
      <c r="T12" s="24"/>
      <c r="U12" s="24"/>
      <c r="V12" s="24"/>
      <c r="W12" s="24"/>
      <c r="X12" s="24">
        <v>463.74705499999999</v>
      </c>
      <c r="Y12" s="24"/>
      <c r="Z12" s="24"/>
      <c r="AA12" s="24"/>
      <c r="AB12" s="24"/>
      <c r="AC12" s="181">
        <f t="shared" ref="AC12:AC20" si="2">($R$7*R12)+($S$7*S12)+($T$7*T12)+($U$7*U12)+($V$7*V12)+($W$7*W12)+($X$7*X12)+($Y$7*Y12)+($Z$7*Z12)+($AA$7*AA12)</f>
        <v>231.87352749999999</v>
      </c>
      <c r="AD12" s="24">
        <f t="shared" ref="AD12:AD20" si="3">AC12*$AD$4</f>
        <v>18.549882199999999</v>
      </c>
    </row>
    <row r="13" spans="1:42" x14ac:dyDescent="0.2">
      <c r="C13" s="206">
        <v>4</v>
      </c>
      <c r="D13" s="17" t="s">
        <v>3</v>
      </c>
      <c r="E13" s="24"/>
      <c r="F13" s="24">
        <f>2612498.896191+350.027683+241381.426136</f>
        <v>2854230.3500100002</v>
      </c>
      <c r="G13" s="24"/>
      <c r="H13" s="24"/>
      <c r="I13" s="24"/>
      <c r="J13" s="24"/>
      <c r="K13" s="24">
        <f>49967.2+55255.147341</f>
        <v>105222.347341</v>
      </c>
      <c r="L13" s="24"/>
      <c r="M13" s="24"/>
      <c r="N13" s="24"/>
      <c r="O13" s="24"/>
      <c r="P13" s="181">
        <f t="shared" si="0"/>
        <v>623457.24367250013</v>
      </c>
      <c r="Q13" s="24">
        <f t="shared" si="1"/>
        <v>49876.579493800011</v>
      </c>
      <c r="R13" s="24"/>
      <c r="S13" s="24">
        <f>2901563.113902+228558.78672+158286.476002</f>
        <v>3288408.3766239998</v>
      </c>
      <c r="T13" s="24"/>
      <c r="U13" s="24"/>
      <c r="V13" s="24"/>
      <c r="W13" s="24"/>
      <c r="X13" s="24">
        <f>91836.5+58440.477352</f>
        <v>150276.97735200002</v>
      </c>
      <c r="Y13" s="24"/>
      <c r="Z13" s="24"/>
      <c r="AA13" s="24"/>
      <c r="AB13" s="24"/>
      <c r="AC13" s="181">
        <f t="shared" si="2"/>
        <v>732820.1640008</v>
      </c>
      <c r="AD13" s="24">
        <f t="shared" si="3"/>
        <v>58625.613120064001</v>
      </c>
    </row>
    <row r="14" spans="1:42" x14ac:dyDescent="0.2">
      <c r="C14" s="206">
        <v>5</v>
      </c>
      <c r="D14" s="17" t="s">
        <v>4</v>
      </c>
      <c r="E14" s="24"/>
      <c r="F14" s="24">
        <v>41143.198361000002</v>
      </c>
      <c r="G14" s="24">
        <v>57211.192783999999</v>
      </c>
      <c r="H14" s="24">
        <v>463108.96645599999</v>
      </c>
      <c r="I14" s="24"/>
      <c r="J14" s="24"/>
      <c r="K14" s="24"/>
      <c r="L14" s="24"/>
      <c r="M14" s="24"/>
      <c r="N14" s="24"/>
      <c r="O14" s="24"/>
      <c r="P14" s="181">
        <f>($R$7*E14)+($S$7*F14)+($T$7*G14)+($U$7*H14)+($V$7*I14)+($W$7*J14)+($X$7*K14)+($Y$7*L14)+($Z$7*M14)+($AA$7*N14)</f>
        <v>184619.57612779998</v>
      </c>
      <c r="Q14" s="24">
        <f t="shared" si="1"/>
        <v>14769.566090224</v>
      </c>
      <c r="R14" s="24"/>
      <c r="S14" s="24">
        <v>70625.574565000003</v>
      </c>
      <c r="T14" s="24">
        <v>87166.935931</v>
      </c>
      <c r="U14" s="24">
        <v>213498.59416799998</v>
      </c>
      <c r="V14" s="24"/>
      <c r="W14" s="24"/>
      <c r="X14" s="24"/>
      <c r="Y14" s="24"/>
      <c r="Z14" s="24"/>
      <c r="AA14" s="24"/>
      <c r="AB14" s="24"/>
      <c r="AC14" s="181">
        <f t="shared" si="2"/>
        <v>110641.35685454999</v>
      </c>
      <c r="AD14" s="24">
        <f>AC14*$AD$4</f>
        <v>8851.3085483639989</v>
      </c>
    </row>
    <row r="15" spans="1:42" x14ac:dyDescent="0.2">
      <c r="C15" s="206">
        <v>6</v>
      </c>
      <c r="D15" s="17" t="s">
        <v>5</v>
      </c>
      <c r="E15" s="24"/>
      <c r="F15" s="24"/>
      <c r="G15" s="24"/>
      <c r="H15" s="24"/>
      <c r="I15" s="24"/>
      <c r="J15" s="24"/>
      <c r="K15" s="24"/>
      <c r="L15" s="24"/>
      <c r="M15" s="24">
        <v>118689.607485</v>
      </c>
      <c r="N15" s="24"/>
      <c r="O15" s="24"/>
      <c r="P15" s="181">
        <f>($R$7*E15)+($S$7*F15)+($T$7*G15)+($U$7*H15)+($V$7*I15)+($W$7*J15)+($X$7*K15)+($Y$7*L15)+($Z$7*M15)+($AA$7*N15)</f>
        <v>118689.607485</v>
      </c>
      <c r="Q15" s="24">
        <f>P15*$AD$4</f>
        <v>9495.1685988000008</v>
      </c>
      <c r="R15" s="24"/>
      <c r="S15" s="24"/>
      <c r="T15" s="24"/>
      <c r="U15" s="24"/>
      <c r="V15" s="24"/>
      <c r="W15" s="24"/>
      <c r="X15" s="24"/>
      <c r="Y15" s="24"/>
      <c r="Z15" s="24">
        <v>106468.491033</v>
      </c>
      <c r="AA15" s="24"/>
      <c r="AB15" s="24"/>
      <c r="AC15" s="181">
        <f t="shared" si="2"/>
        <v>106468.491033</v>
      </c>
      <c r="AD15" s="24">
        <f t="shared" si="3"/>
        <v>8517.4792826400007</v>
      </c>
    </row>
    <row r="16" spans="1:42" x14ac:dyDescent="0.2">
      <c r="C16" s="206">
        <v>7</v>
      </c>
      <c r="D16" s="17" t="s">
        <v>6</v>
      </c>
      <c r="E16" s="24">
        <v>3670.9811800000002</v>
      </c>
      <c r="F16" s="24"/>
      <c r="G16" s="24"/>
      <c r="H16" s="24"/>
      <c r="I16" s="24"/>
      <c r="J16" s="24"/>
      <c r="K16" s="24">
        <v>11332444.648206001</v>
      </c>
      <c r="L16" s="24"/>
      <c r="M16" s="24"/>
      <c r="N16" s="24"/>
      <c r="O16" s="24"/>
      <c r="P16" s="181">
        <f t="shared" ref="P16:P18" si="4">($R$7*E16)+($S$7*F16)+($T$7*G16)+($U$7*H16)+($V$7*I16)+($W$7*J16)+($X$7*K16)+($Y$7*L16)+($Z$7*M16)+($AA$7*N16)</f>
        <v>5666222.3241030006</v>
      </c>
      <c r="Q16" s="24">
        <f t="shared" si="1"/>
        <v>453297.78592824005</v>
      </c>
      <c r="R16" s="24">
        <v>2447.015731</v>
      </c>
      <c r="S16" s="24">
        <v>4.7039879999999998</v>
      </c>
      <c r="T16" s="24"/>
      <c r="U16" s="24"/>
      <c r="V16" s="24"/>
      <c r="W16" s="24"/>
      <c r="X16" s="24">
        <v>10704866.407411</v>
      </c>
      <c r="Y16" s="24"/>
      <c r="Z16" s="24"/>
      <c r="AA16" s="24"/>
      <c r="AB16" s="24"/>
      <c r="AC16" s="181">
        <f t="shared" si="2"/>
        <v>5352434.1445030998</v>
      </c>
      <c r="AD16" s="24">
        <f t="shared" si="3"/>
        <v>428194.73156024801</v>
      </c>
    </row>
    <row r="17" spans="3:32" x14ac:dyDescent="0.2">
      <c r="C17" s="206">
        <v>8</v>
      </c>
      <c r="D17" s="17" t="s">
        <v>7</v>
      </c>
      <c r="E17" s="24">
        <v>8113.4985589999997</v>
      </c>
      <c r="F17" s="24">
        <v>34596.450302999998</v>
      </c>
      <c r="G17" s="24"/>
      <c r="H17" s="24"/>
      <c r="I17" s="24"/>
      <c r="J17" s="24"/>
      <c r="K17" s="24"/>
      <c r="L17" s="24">
        <v>885752.82015999989</v>
      </c>
      <c r="M17" s="24"/>
      <c r="N17" s="24"/>
      <c r="O17" s="24"/>
      <c r="P17" s="181">
        <f t="shared" si="4"/>
        <v>671233.90518060001</v>
      </c>
      <c r="Q17" s="24">
        <f t="shared" si="1"/>
        <v>53698.712414448004</v>
      </c>
      <c r="R17" s="24">
        <v>7457.1763639999999</v>
      </c>
      <c r="S17" s="24">
        <v>62694.728048999998</v>
      </c>
      <c r="T17" s="24"/>
      <c r="U17" s="24"/>
      <c r="V17" s="24"/>
      <c r="W17" s="24"/>
      <c r="X17" s="24"/>
      <c r="Y17" s="24">
        <v>977678.186491</v>
      </c>
      <c r="Z17" s="24"/>
      <c r="AA17" s="24"/>
      <c r="AB17" s="24"/>
      <c r="AC17" s="181">
        <f t="shared" si="2"/>
        <v>745797.58547805005</v>
      </c>
      <c r="AD17" s="24">
        <f t="shared" si="3"/>
        <v>59663.806838244003</v>
      </c>
    </row>
    <row r="18" spans="3:32" x14ac:dyDescent="0.2">
      <c r="C18" s="206">
        <v>9</v>
      </c>
      <c r="D18" s="17" t="s">
        <v>8</v>
      </c>
      <c r="E18" s="24">
        <v>25819.927685999999</v>
      </c>
      <c r="F18" s="24">
        <f>22650.05875+24.75</f>
        <v>22674.80875</v>
      </c>
      <c r="G18" s="24"/>
      <c r="H18" s="24"/>
      <c r="I18" s="24"/>
      <c r="J18" s="24"/>
      <c r="K18" s="24">
        <v>137010.5</v>
      </c>
      <c r="L18" s="24"/>
      <c r="M18" s="24">
        <v>4090905.6640920001</v>
      </c>
      <c r="N18" s="24"/>
      <c r="O18" s="24"/>
      <c r="P18" s="181">
        <f t="shared" si="4"/>
        <v>4163945.8758419999</v>
      </c>
      <c r="Q18" s="24">
        <f t="shared" si="1"/>
        <v>333115.67006735998</v>
      </c>
      <c r="R18" s="24">
        <v>18560.834605</v>
      </c>
      <c r="S18" s="24"/>
      <c r="T18" s="24"/>
      <c r="U18" s="24"/>
      <c r="V18" s="24"/>
      <c r="W18" s="24"/>
      <c r="X18" s="24">
        <v>50000</v>
      </c>
      <c r="Y18" s="24"/>
      <c r="Z18" s="24">
        <v>2422396.4760579998</v>
      </c>
      <c r="AA18" s="24"/>
      <c r="AB18" s="24"/>
      <c r="AC18" s="181">
        <f t="shared" si="2"/>
        <v>2447396.4760579998</v>
      </c>
      <c r="AD18" s="24">
        <f t="shared" si="3"/>
        <v>195791.71808463999</v>
      </c>
    </row>
    <row r="19" spans="3:32" x14ac:dyDescent="0.2">
      <c r="C19" s="206">
        <v>10</v>
      </c>
      <c r="D19" s="17" t="s">
        <v>9</v>
      </c>
      <c r="E19" s="24">
        <v>69.7</v>
      </c>
      <c r="F19" s="24">
        <v>232.64718999999999</v>
      </c>
      <c r="G19" s="24"/>
      <c r="H19" s="24"/>
      <c r="I19" s="24"/>
      <c r="J19" s="24"/>
      <c r="K19" s="24"/>
      <c r="L19" s="24"/>
      <c r="M19" s="24">
        <v>18707.090740999993</v>
      </c>
      <c r="N19" s="24">
        <v>224366.87378100003</v>
      </c>
      <c r="O19" s="24"/>
      <c r="P19" s="181">
        <f>($R$7*E19)+($S$7*F19)+($T$7*G19)+($U$7*H19)+($V$7*I19)+($W$7*J19)+($X$7*K19)+($Y$7*L19)+($Z$7*M19)+($AA$7*N19)</f>
        <v>355303.93085050007</v>
      </c>
      <c r="Q19" s="24">
        <f t="shared" si="1"/>
        <v>28424.314468040007</v>
      </c>
      <c r="R19" s="24">
        <v>20.630958</v>
      </c>
      <c r="S19" s="24">
        <v>558.74902199999997</v>
      </c>
      <c r="T19" s="24"/>
      <c r="U19" s="24"/>
      <c r="V19" s="24"/>
      <c r="W19" s="24"/>
      <c r="X19" s="24"/>
      <c r="Y19" s="24"/>
      <c r="Z19" s="24">
        <v>7838.2910649999976</v>
      </c>
      <c r="AA19" s="24">
        <v>299607.80215599999</v>
      </c>
      <c r="AB19" s="24"/>
      <c r="AC19" s="181">
        <f t="shared" si="2"/>
        <v>457361.74410340004</v>
      </c>
      <c r="AD19" s="24">
        <f t="shared" si="3"/>
        <v>36588.939528272007</v>
      </c>
    </row>
    <row r="20" spans="3:32" x14ac:dyDescent="0.2">
      <c r="C20" s="206">
        <v>11</v>
      </c>
      <c r="D20" s="17" t="s">
        <v>10</v>
      </c>
      <c r="E20" s="24">
        <v>535632.45498899999</v>
      </c>
      <c r="F20" s="24"/>
      <c r="G20" s="24"/>
      <c r="H20" s="24"/>
      <c r="I20" s="24"/>
      <c r="J20" s="24"/>
      <c r="K20" s="24"/>
      <c r="L20" s="24"/>
      <c r="M20" s="24">
        <v>1795887.85901</v>
      </c>
      <c r="N20" s="24"/>
      <c r="O20" s="24"/>
      <c r="P20" s="181">
        <f>($R$7*E20)+($S$7*F20)+($T$7*G20)+($U$7*H20)+($V$7*I20)+($W$7*J20)+($X$7*K20)+($Y$7*L20)+($Z$7*M20)+($AA$7*N20)</f>
        <v>1795887.85901</v>
      </c>
      <c r="Q20" s="24">
        <f t="shared" si="1"/>
        <v>143671.02872080001</v>
      </c>
      <c r="R20" s="24">
        <v>501495.81989799999</v>
      </c>
      <c r="S20" s="24"/>
      <c r="T20" s="24"/>
      <c r="U20" s="24"/>
      <c r="V20" s="24"/>
      <c r="W20" s="24"/>
      <c r="X20" s="24"/>
      <c r="Y20" s="24"/>
      <c r="Z20" s="24">
        <v>1772314.1277310001</v>
      </c>
      <c r="AA20" s="24"/>
      <c r="AB20" s="24"/>
      <c r="AC20" s="181">
        <f t="shared" si="2"/>
        <v>1772314.1277310001</v>
      </c>
      <c r="AD20" s="24">
        <f t="shared" si="3"/>
        <v>141785.13021848002</v>
      </c>
    </row>
    <row r="21" spans="3:32" s="9" customFormat="1" x14ac:dyDescent="0.2">
      <c r="C21" s="10"/>
      <c r="D21" s="18" t="s">
        <v>51</v>
      </c>
      <c r="E21" s="26">
        <f>SUM(E10:E20)</f>
        <v>4700439.3594460003</v>
      </c>
      <c r="F21" s="26">
        <f t="shared" ref="F21:O21" si="5">SUM(F10:F20)</f>
        <v>2984415.7546139997</v>
      </c>
      <c r="G21" s="26">
        <f t="shared" si="5"/>
        <v>57211.192783999999</v>
      </c>
      <c r="H21" s="26">
        <f t="shared" si="5"/>
        <v>463108.96645599999</v>
      </c>
      <c r="I21" s="26">
        <f t="shared" si="5"/>
        <v>0</v>
      </c>
      <c r="J21" s="26">
        <f t="shared" si="5"/>
        <v>0</v>
      </c>
      <c r="K21" s="26">
        <f t="shared" si="5"/>
        <v>11577540.480025001</v>
      </c>
      <c r="L21" s="26">
        <f>SUM(L10:L20)</f>
        <v>885752.82015999989</v>
      </c>
      <c r="M21" s="26">
        <f>SUM(M10:M20)</f>
        <v>6024190.2213279996</v>
      </c>
      <c r="N21" s="26">
        <f>SUM(N10:N20)</f>
        <v>224366.87378100003</v>
      </c>
      <c r="O21" s="26">
        <f t="shared" si="5"/>
        <v>0</v>
      </c>
      <c r="P21" s="26">
        <f>SUM(P10:P20)</f>
        <v>13587099.4745104</v>
      </c>
      <c r="Q21" s="26">
        <f t="shared" ref="Q21" si="6">SUM(Q10:Q20)</f>
        <v>1086967.9579608319</v>
      </c>
      <c r="R21" s="26">
        <f>SUM(R10:R20)</f>
        <v>5442569.649569001</v>
      </c>
      <c r="S21" s="26">
        <f t="shared" ref="S21" si="7">SUM(S10:S20)</f>
        <v>3466284.5422479995</v>
      </c>
      <c r="T21" s="26"/>
      <c r="U21" s="26">
        <f t="shared" ref="U21:AB21" si="8">SUM(U10:U20)</f>
        <v>213498.59416799998</v>
      </c>
      <c r="V21" s="26">
        <f t="shared" si="8"/>
        <v>0</v>
      </c>
      <c r="W21" s="26">
        <f t="shared" si="8"/>
        <v>0</v>
      </c>
      <c r="X21" s="26">
        <f t="shared" si="8"/>
        <v>10926520.656749999</v>
      </c>
      <c r="Y21" s="26">
        <f t="shared" si="8"/>
        <v>977678.186491</v>
      </c>
      <c r="Z21" s="26">
        <f t="shared" si="8"/>
        <v>4309017.3858869998</v>
      </c>
      <c r="AA21" s="26">
        <f t="shared" si="8"/>
        <v>299607.80215599999</v>
      </c>
      <c r="AB21" s="26">
        <f t="shared" si="8"/>
        <v>0</v>
      </c>
      <c r="AC21" s="26">
        <f>SUM(AC10:AC20)</f>
        <v>11744721.207755398</v>
      </c>
      <c r="AD21" s="26">
        <f t="shared" ref="AD21" si="9">SUM(AD10:AD20)</f>
        <v>939577.69662043196</v>
      </c>
    </row>
    <row r="22" spans="3:32" x14ac:dyDescent="0.2">
      <c r="C22" s="206"/>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
      <c r="C24" s="206">
        <v>1</v>
      </c>
      <c r="D24" s="17" t="s">
        <v>0</v>
      </c>
      <c r="E24" s="24">
        <v>20191.167868000004</v>
      </c>
      <c r="F24" s="24"/>
      <c r="G24" s="24"/>
      <c r="H24" s="24"/>
      <c r="I24" s="24"/>
      <c r="J24" s="24"/>
      <c r="K24" s="24"/>
      <c r="L24" s="24"/>
      <c r="M24" s="24"/>
      <c r="N24" s="24"/>
      <c r="O24" s="24"/>
      <c r="P24" s="181">
        <f>($R$7*E24)+($S$7*F24)+($T$7*G24)+($U$7*H24)+($V$7*I24)+($W$7*J24)+($X$7*K24)+($Y$7*L24)+($Z$7*M24)+($AA$7*N24)</f>
        <v>0</v>
      </c>
      <c r="Q24" s="24">
        <f>P24*$AD$4</f>
        <v>0</v>
      </c>
      <c r="R24" s="24">
        <v>32.611588599999997</v>
      </c>
      <c r="S24" s="24"/>
      <c r="T24" s="24"/>
      <c r="U24" s="24"/>
      <c r="V24" s="24"/>
      <c r="W24" s="24"/>
      <c r="X24" s="24"/>
      <c r="Y24" s="24"/>
      <c r="Z24" s="24"/>
      <c r="AA24" s="24"/>
      <c r="AB24" s="24"/>
      <c r="AC24" s="181">
        <f>($R$7*R24)+($S$7*S24)+($T$7*T24)+($U$7*U24)+($V$7*V24)+($W$7*W24)+($X$7*X24)+($Y$7*Y24)+($Z$7*Z24)+($AA$7*AA24)</f>
        <v>0</v>
      </c>
      <c r="AD24" s="24">
        <f>AC24*$AD$4</f>
        <v>0</v>
      </c>
      <c r="AF24" s="119">
        <f>AC21+AC34</f>
        <v>12275856.214253716</v>
      </c>
    </row>
    <row r="25" spans="3:32" x14ac:dyDescent="0.2">
      <c r="C25" s="206">
        <v>2</v>
      </c>
      <c r="D25" s="17" t="s">
        <v>1</v>
      </c>
      <c r="E25" s="24"/>
      <c r="F25" s="24"/>
      <c r="G25" s="24"/>
      <c r="H25" s="24"/>
      <c r="I25" s="24"/>
      <c r="J25" s="24"/>
      <c r="K25" s="24">
        <f>438.8031044+1047.55043</f>
        <v>1486.3535343999999</v>
      </c>
      <c r="L25" s="24"/>
      <c r="M25" s="24"/>
      <c r="N25" s="24"/>
      <c r="O25" s="24"/>
      <c r="P25" s="181">
        <f t="shared" ref="P25:P33" si="10">($R$7*E25)+($S$7*F25)+($T$7*G25)+($U$7*H25)+($V$7*I25)+($W$7*J25)+($X$7*K25)+($Y$7*L25)+($Z$7*M25)+($AA$7*N25)</f>
        <v>743.17676719999997</v>
      </c>
      <c r="Q25" s="24">
        <f t="shared" ref="Q25:Q33" si="11">P25*$AD$4</f>
        <v>59.454141375999995</v>
      </c>
      <c r="R25" s="24">
        <v>163.83636849999999</v>
      </c>
      <c r="S25" s="24"/>
      <c r="T25" s="24"/>
      <c r="U25" s="24"/>
      <c r="V25" s="24"/>
      <c r="W25" s="24"/>
      <c r="X25" s="24">
        <f>224.593379999999+4351.786279</f>
        <v>4576.3796589999993</v>
      </c>
      <c r="Y25" s="24"/>
      <c r="Z25" s="24"/>
      <c r="AA25" s="24"/>
      <c r="AB25" s="24"/>
      <c r="AC25" s="181">
        <f>($R$7*R25)+($S$7*S25)+($T$7*T25)+($U$7*U25)+($V$7*V25)+($W$7*W25)+($X$7*X25)+($Y$7*Y25)+($Z$7*Z25)+($AA$7*AA25)</f>
        <v>2288.1898294999996</v>
      </c>
      <c r="AD25" s="27">
        <f>AC25*$AD$4</f>
        <v>183.05518635999996</v>
      </c>
    </row>
    <row r="26" spans="3:32" x14ac:dyDescent="0.2">
      <c r="C26" s="206">
        <v>3</v>
      </c>
      <c r="D26" s="17" t="s">
        <v>2</v>
      </c>
      <c r="E26" s="24"/>
      <c r="F26" s="24"/>
      <c r="G26" s="24"/>
      <c r="H26" s="24"/>
      <c r="I26" s="24"/>
      <c r="J26" s="24"/>
      <c r="K26" s="24"/>
      <c r="L26" s="24"/>
      <c r="M26" s="24"/>
      <c r="N26" s="24"/>
      <c r="O26" s="24"/>
      <c r="P26" s="181">
        <f t="shared" si="10"/>
        <v>0</v>
      </c>
      <c r="Q26" s="24">
        <f t="shared" si="11"/>
        <v>0</v>
      </c>
      <c r="R26" s="24"/>
      <c r="S26" s="24"/>
      <c r="T26" s="24"/>
      <c r="U26" s="24"/>
      <c r="V26" s="24"/>
      <c r="W26" s="24"/>
      <c r="X26" s="24"/>
      <c r="Y26" s="24"/>
      <c r="Z26" s="24"/>
      <c r="AA26" s="24"/>
      <c r="AB26" s="24"/>
      <c r="AC26" s="181">
        <f t="shared" ref="AC26:AC32" si="12">($R$7*R26)+($S$7*S26)+($T$7*T26)+($U$7*U26)+($V$7*V26)+($W$7*W26)+($X$7*X26)+($Y$7*Y26)+($Z$7*Z26)+($AA$7*AA26)</f>
        <v>0</v>
      </c>
      <c r="AD26" s="24">
        <f t="shared" ref="AD26:AD33" si="13">AC26*$AD$4</f>
        <v>0</v>
      </c>
    </row>
    <row r="27" spans="3:32" x14ac:dyDescent="0.2">
      <c r="C27" s="206">
        <v>4</v>
      </c>
      <c r="D27" s="17" t="s">
        <v>3</v>
      </c>
      <c r="E27" s="24"/>
      <c r="F27" s="24"/>
      <c r="G27" s="24"/>
      <c r="H27" s="24"/>
      <c r="I27" s="24"/>
      <c r="J27" s="24"/>
      <c r="K27" s="24"/>
      <c r="L27" s="24"/>
      <c r="M27" s="24"/>
      <c r="N27" s="24"/>
      <c r="O27" s="24"/>
      <c r="P27" s="181">
        <f t="shared" si="10"/>
        <v>0</v>
      </c>
      <c r="Q27" s="24">
        <f t="shared" si="11"/>
        <v>0</v>
      </c>
      <c r="R27" s="24"/>
      <c r="S27" s="24">
        <v>89.357516799999999</v>
      </c>
      <c r="T27" s="24"/>
      <c r="U27" s="24"/>
      <c r="V27" s="24"/>
      <c r="W27" s="24"/>
      <c r="X27" s="24"/>
      <c r="Y27" s="24"/>
      <c r="Z27" s="24"/>
      <c r="AA27" s="24"/>
      <c r="AB27" s="24"/>
      <c r="AC27" s="181">
        <f t="shared" si="12"/>
        <v>17.871503360000002</v>
      </c>
      <c r="AD27" s="24">
        <f t="shared" si="13"/>
        <v>1.4297202688000001</v>
      </c>
    </row>
    <row r="28" spans="3:32" x14ac:dyDescent="0.2">
      <c r="C28" s="206">
        <v>5</v>
      </c>
      <c r="D28" s="17" t="s">
        <v>4</v>
      </c>
      <c r="E28" s="24"/>
      <c r="F28" s="24"/>
      <c r="G28" s="24"/>
      <c r="H28" s="24"/>
      <c r="I28" s="24"/>
      <c r="J28" s="24"/>
      <c r="K28" s="24"/>
      <c r="L28" s="24"/>
      <c r="M28" s="24"/>
      <c r="N28" s="24"/>
      <c r="O28" s="24"/>
      <c r="P28" s="181">
        <f t="shared" si="10"/>
        <v>0</v>
      </c>
      <c r="Q28" s="24">
        <f t="shared" si="11"/>
        <v>0</v>
      </c>
      <c r="R28" s="24"/>
      <c r="S28" s="24"/>
      <c r="T28" s="24"/>
      <c r="U28" s="24">
        <v>28.4766975</v>
      </c>
      <c r="V28" s="24"/>
      <c r="W28" s="24"/>
      <c r="X28" s="24"/>
      <c r="Y28" s="24"/>
      <c r="Z28" s="24"/>
      <c r="AA28" s="24"/>
      <c r="AB28" s="24"/>
      <c r="AC28" s="181">
        <f t="shared" si="12"/>
        <v>9.9668441249999997</v>
      </c>
      <c r="AD28" s="24">
        <f t="shared" si="13"/>
        <v>0.79734753000000003</v>
      </c>
    </row>
    <row r="29" spans="3:32" x14ac:dyDescent="0.2">
      <c r="C29" s="206">
        <v>6</v>
      </c>
      <c r="D29" s="17" t="s">
        <v>5</v>
      </c>
      <c r="E29" s="24"/>
      <c r="F29" s="24"/>
      <c r="G29" s="24"/>
      <c r="H29" s="24"/>
      <c r="I29" s="24"/>
      <c r="J29" s="24"/>
      <c r="K29" s="24"/>
      <c r="L29" s="24"/>
      <c r="M29" s="24"/>
      <c r="N29" s="24"/>
      <c r="O29" s="24"/>
      <c r="P29" s="181">
        <f t="shared" si="10"/>
        <v>0</v>
      </c>
      <c r="Q29" s="24">
        <f t="shared" si="11"/>
        <v>0</v>
      </c>
      <c r="R29" s="24"/>
      <c r="S29" s="24"/>
      <c r="T29" s="24"/>
      <c r="U29" s="24"/>
      <c r="V29" s="24"/>
      <c r="W29" s="24"/>
      <c r="X29" s="24"/>
      <c r="Y29" s="24"/>
      <c r="Z29" s="24">
        <v>1428.0275810000001</v>
      </c>
      <c r="AA29" s="24"/>
      <c r="AB29" s="24"/>
      <c r="AC29" s="181">
        <f t="shared" si="12"/>
        <v>1428.0275810000001</v>
      </c>
      <c r="AD29" s="24">
        <f t="shared" si="13"/>
        <v>114.24220648000001</v>
      </c>
    </row>
    <row r="30" spans="3:32" x14ac:dyDescent="0.2">
      <c r="C30" s="206">
        <v>7</v>
      </c>
      <c r="D30" s="17" t="s">
        <v>6</v>
      </c>
      <c r="E30" s="24"/>
      <c r="F30" s="24"/>
      <c r="G30" s="24"/>
      <c r="H30" s="24"/>
      <c r="I30" s="24"/>
      <c r="J30" s="24"/>
      <c r="K30" s="24"/>
      <c r="L30" s="24"/>
      <c r="M30" s="24"/>
      <c r="N30" s="24"/>
      <c r="O30" s="24"/>
      <c r="P30" s="181">
        <f t="shared" si="10"/>
        <v>0</v>
      </c>
      <c r="Q30" s="24">
        <f t="shared" si="11"/>
        <v>0</v>
      </c>
      <c r="R30" s="24"/>
      <c r="S30" s="24"/>
      <c r="T30" s="24"/>
      <c r="U30" s="24"/>
      <c r="V30" s="24"/>
      <c r="W30" s="24"/>
      <c r="X30" s="24">
        <v>1.3168150000000001</v>
      </c>
      <c r="Y30" s="24"/>
      <c r="Z30" s="24"/>
      <c r="AA30" s="24"/>
      <c r="AB30" s="24"/>
      <c r="AC30" s="181">
        <f t="shared" si="12"/>
        <v>0.65840750000000003</v>
      </c>
      <c r="AD30" s="24">
        <f t="shared" si="13"/>
        <v>5.2672600000000007E-2</v>
      </c>
    </row>
    <row r="31" spans="3:32" x14ac:dyDescent="0.2">
      <c r="C31" s="206">
        <v>8</v>
      </c>
      <c r="D31" s="17" t="s">
        <v>7</v>
      </c>
      <c r="E31" s="24">
        <v>1858.8481724999999</v>
      </c>
      <c r="F31" s="24"/>
      <c r="G31" s="24"/>
      <c r="H31" s="24"/>
      <c r="I31" s="24"/>
      <c r="J31" s="24"/>
      <c r="K31" s="24">
        <v>22265.558338499999</v>
      </c>
      <c r="L31" s="24">
        <v>21653.562962300002</v>
      </c>
      <c r="M31" s="24"/>
      <c r="N31" s="24"/>
      <c r="O31" s="24"/>
      <c r="P31" s="181">
        <f t="shared" si="10"/>
        <v>27372.951390975002</v>
      </c>
      <c r="Q31" s="24">
        <f t="shared" si="11"/>
        <v>2189.8361112780003</v>
      </c>
      <c r="R31" s="24">
        <v>2491.6937710000002</v>
      </c>
      <c r="S31" s="24"/>
      <c r="T31" s="24"/>
      <c r="U31" s="24"/>
      <c r="V31" s="24"/>
      <c r="W31" s="24"/>
      <c r="X31" s="24">
        <v>38314.9957775</v>
      </c>
      <c r="Y31" s="24">
        <v>27848.349251500011</v>
      </c>
      <c r="Z31" s="24"/>
      <c r="AA31" s="24"/>
      <c r="AB31" s="24"/>
      <c r="AC31" s="181">
        <f t="shared" si="12"/>
        <v>40043.759827375005</v>
      </c>
      <c r="AD31" s="24">
        <f t="shared" si="13"/>
        <v>3203.5007861900003</v>
      </c>
    </row>
    <row r="32" spans="3:32" x14ac:dyDescent="0.2">
      <c r="C32" s="206">
        <v>9</v>
      </c>
      <c r="D32" s="17" t="s">
        <v>8</v>
      </c>
      <c r="E32" s="24"/>
      <c r="F32" s="24"/>
      <c r="G32" s="24"/>
      <c r="H32" s="24"/>
      <c r="I32" s="24"/>
      <c r="J32" s="24"/>
      <c r="K32" s="24">
        <v>20047.940102500001</v>
      </c>
      <c r="L32" s="24"/>
      <c r="M32" s="24">
        <v>151256.31282190001</v>
      </c>
      <c r="N32" s="24"/>
      <c r="O32" s="24"/>
      <c r="P32" s="181">
        <f t="shared" si="10"/>
        <v>161280.28287315002</v>
      </c>
      <c r="Q32" s="24">
        <f t="shared" si="11"/>
        <v>12902.422629852003</v>
      </c>
      <c r="R32" s="24">
        <v>8470.8203830000002</v>
      </c>
      <c r="S32" s="24"/>
      <c r="T32" s="24"/>
      <c r="U32" s="24"/>
      <c r="V32" s="24"/>
      <c r="W32" s="24"/>
      <c r="X32" s="24">
        <v>76270.613150000005</v>
      </c>
      <c r="Y32" s="24"/>
      <c r="Z32" s="24">
        <v>435659.6141772088</v>
      </c>
      <c r="AA32" s="24"/>
      <c r="AB32" s="24"/>
      <c r="AC32" s="181">
        <f t="shared" si="12"/>
        <v>473794.9207522088</v>
      </c>
      <c r="AD32" s="24">
        <f t="shared" si="13"/>
        <v>37903.593660176703</v>
      </c>
    </row>
    <row r="33" spans="3:30" x14ac:dyDescent="0.2">
      <c r="C33" s="206">
        <v>10</v>
      </c>
      <c r="D33" s="17" t="s">
        <v>9</v>
      </c>
      <c r="E33" s="24"/>
      <c r="F33" s="24"/>
      <c r="G33" s="24"/>
      <c r="H33" s="24"/>
      <c r="I33" s="24"/>
      <c r="J33" s="24"/>
      <c r="K33" s="24"/>
      <c r="L33" s="24"/>
      <c r="M33" s="24"/>
      <c r="N33" s="24">
        <v>5276.782588</v>
      </c>
      <c r="O33" s="24"/>
      <c r="P33" s="181">
        <f t="shared" si="10"/>
        <v>7915.173882</v>
      </c>
      <c r="Q33" s="24">
        <f t="shared" si="11"/>
        <v>633.21391056000004</v>
      </c>
      <c r="R33" s="24"/>
      <c r="S33" s="24"/>
      <c r="T33" s="24"/>
      <c r="U33" s="24"/>
      <c r="V33" s="24"/>
      <c r="W33" s="24"/>
      <c r="X33" s="24"/>
      <c r="Y33" s="24"/>
      <c r="Z33" s="24"/>
      <c r="AA33" s="24">
        <v>9034.4078355000001</v>
      </c>
      <c r="AB33" s="24"/>
      <c r="AC33" s="181">
        <f>($R$7*R33)+($S$7*S33)+($T$7*T33)+($U$7*U33)+($V$7*V33)+($W$7*W33)+($X$7*X33)+($Y$7*Y33)+($Z$7*Z33)+($AA$7*AA33)</f>
        <v>13551.611753249999</v>
      </c>
      <c r="AD33" s="24">
        <f t="shared" si="13"/>
        <v>1084.12894026</v>
      </c>
    </row>
    <row r="34" spans="3:30" s="9" customFormat="1" x14ac:dyDescent="0.2">
      <c r="C34" s="10"/>
      <c r="D34" s="18" t="s">
        <v>51</v>
      </c>
      <c r="E34" s="26">
        <f>SUM(E24:E33)</f>
        <v>22050.016040500002</v>
      </c>
      <c r="F34" s="26">
        <f t="shared" ref="F34:O34" si="14">SUM(F24:F33)</f>
        <v>0</v>
      </c>
      <c r="G34" s="26"/>
      <c r="H34" s="26">
        <f t="shared" si="14"/>
        <v>0</v>
      </c>
      <c r="I34" s="26">
        <f t="shared" si="14"/>
        <v>0</v>
      </c>
      <c r="J34" s="26">
        <f t="shared" si="14"/>
        <v>0</v>
      </c>
      <c r="K34" s="26">
        <f t="shared" si="14"/>
        <v>43799.851975400001</v>
      </c>
      <c r="L34" s="26">
        <f t="shared" si="14"/>
        <v>21653.562962300002</v>
      </c>
      <c r="M34" s="26">
        <f t="shared" si="14"/>
        <v>151256.31282190001</v>
      </c>
      <c r="N34" s="26">
        <f t="shared" si="14"/>
        <v>5276.782588</v>
      </c>
      <c r="O34" s="26">
        <f t="shared" si="14"/>
        <v>0</v>
      </c>
      <c r="P34" s="26">
        <f>SUM(P24:P33)</f>
        <v>197311.58491332503</v>
      </c>
      <c r="Q34" s="26">
        <f t="shared" ref="Q34" si="15">SUM(Q24:Q33)</f>
        <v>15784.926793066003</v>
      </c>
      <c r="R34" s="26">
        <f>SUM(R24:R33)</f>
        <v>11158.962111100001</v>
      </c>
      <c r="S34" s="26">
        <f t="shared" ref="S34" si="16">SUM(S24:S33)</f>
        <v>89.357516799999999</v>
      </c>
      <c r="T34" s="26"/>
      <c r="U34" s="26">
        <f t="shared" ref="U34:AB34" si="17">SUM(U24:U33)</f>
        <v>28.4766975</v>
      </c>
      <c r="V34" s="26">
        <f t="shared" si="17"/>
        <v>0</v>
      </c>
      <c r="W34" s="26">
        <f t="shared" si="17"/>
        <v>0</v>
      </c>
      <c r="X34" s="26">
        <f t="shared" si="17"/>
        <v>119163.30540149999</v>
      </c>
      <c r="Y34" s="26">
        <f t="shared" si="17"/>
        <v>27848.349251500011</v>
      </c>
      <c r="Z34" s="26">
        <f t="shared" si="17"/>
        <v>437087.6417582088</v>
      </c>
      <c r="AA34" s="26">
        <f t="shared" si="17"/>
        <v>9034.4078355000001</v>
      </c>
      <c r="AB34" s="26">
        <f t="shared" si="17"/>
        <v>0</v>
      </c>
      <c r="AC34" s="26">
        <f>SUM(AC24:AC33)</f>
        <v>531135.00649831875</v>
      </c>
      <c r="AD34" s="26">
        <f t="shared" ref="AD34" si="18">SUM(AD24:AD33)</f>
        <v>42490.800519865501</v>
      </c>
    </row>
    <row r="35" spans="3:30" x14ac:dyDescent="0.2">
      <c r="C35" s="206"/>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
      <c r="C37" s="206">
        <v>1</v>
      </c>
      <c r="D37" s="17" t="s">
        <v>0</v>
      </c>
      <c r="E37" s="24">
        <v>527192.259968</v>
      </c>
      <c r="F37" s="24"/>
      <c r="G37" s="24"/>
      <c r="H37" s="24"/>
      <c r="I37" s="24"/>
      <c r="J37" s="24"/>
      <c r="K37" s="24"/>
      <c r="L37" s="24"/>
      <c r="M37" s="24"/>
      <c r="N37" s="24"/>
      <c r="O37" s="24"/>
      <c r="P37" s="24">
        <f t="shared" ref="P37:P44" si="19">($R$7*E37)+($S$7*F37)+($U$7*H37)+($V$7*I37)+($W$7*J37)+($X$7*K37)+($Y$7*L37)+($Z$7*M37)+($AA$7*N37)</f>
        <v>0</v>
      </c>
      <c r="Q37" s="24">
        <f t="shared" ref="Q37:Q43" si="20">P37*$AD$4</f>
        <v>0</v>
      </c>
      <c r="R37" s="24">
        <v>478576.9</v>
      </c>
      <c r="S37" s="24"/>
      <c r="T37" s="24"/>
      <c r="U37" s="24"/>
      <c r="V37" s="24"/>
      <c r="W37" s="24"/>
      <c r="X37" s="24"/>
      <c r="Y37" s="24"/>
      <c r="Z37" s="24"/>
      <c r="AA37" s="24"/>
      <c r="AB37" s="24"/>
      <c r="AC37" s="24">
        <f t="shared" ref="AC37:AC43" si="21">($R$7*R37)+($S$7*S37)+($U$7*U37)+($V$7*V37)+($W$7*W37)+($X$7*X37)+($Y$7*Y37)+($Z$7*Z37)+($AA$7*AA37)</f>
        <v>0</v>
      </c>
      <c r="AD37" s="24">
        <f t="shared" ref="AD37:AD43" si="22">AC37*$AD$4</f>
        <v>0</v>
      </c>
    </row>
    <row r="38" spans="3:30" x14ac:dyDescent="0.2">
      <c r="C38" s="206">
        <v>2</v>
      </c>
      <c r="D38" s="17" t="s">
        <v>1</v>
      </c>
      <c r="E38" s="24"/>
      <c r="F38" s="24"/>
      <c r="G38" s="24"/>
      <c r="H38" s="24"/>
      <c r="I38" s="24"/>
      <c r="J38" s="24"/>
      <c r="K38" s="24"/>
      <c r="L38" s="24"/>
      <c r="M38" s="24"/>
      <c r="N38" s="24"/>
      <c r="O38" s="24"/>
      <c r="P38" s="24">
        <f t="shared" si="19"/>
        <v>0</v>
      </c>
      <c r="Q38" s="24">
        <f t="shared" si="20"/>
        <v>0</v>
      </c>
      <c r="R38" s="24"/>
      <c r="S38" s="24"/>
      <c r="T38" s="24"/>
      <c r="U38" s="24"/>
      <c r="V38" s="24"/>
      <c r="W38" s="24"/>
      <c r="X38" s="24"/>
      <c r="Y38" s="24"/>
      <c r="Z38" s="24"/>
      <c r="AA38" s="24"/>
      <c r="AB38" s="24"/>
      <c r="AC38" s="24">
        <f t="shared" si="21"/>
        <v>0</v>
      </c>
      <c r="AD38" s="24">
        <f t="shared" si="22"/>
        <v>0</v>
      </c>
    </row>
    <row r="39" spans="3:30" x14ac:dyDescent="0.2">
      <c r="C39" s="206">
        <v>3</v>
      </c>
      <c r="D39" s="17" t="s">
        <v>2</v>
      </c>
      <c r="E39" s="24"/>
      <c r="F39" s="24"/>
      <c r="G39" s="24"/>
      <c r="H39" s="24"/>
      <c r="I39" s="24"/>
      <c r="J39" s="24"/>
      <c r="K39" s="24"/>
      <c r="L39" s="24"/>
      <c r="M39" s="24"/>
      <c r="N39" s="24"/>
      <c r="O39" s="24"/>
      <c r="P39" s="24">
        <f t="shared" si="19"/>
        <v>0</v>
      </c>
      <c r="Q39" s="24">
        <f t="shared" si="20"/>
        <v>0</v>
      </c>
      <c r="R39" s="24"/>
      <c r="S39" s="24"/>
      <c r="T39" s="24"/>
      <c r="U39" s="24"/>
      <c r="V39" s="24"/>
      <c r="W39" s="24"/>
      <c r="X39" s="24"/>
      <c r="Y39" s="24"/>
      <c r="Z39" s="24"/>
      <c r="AA39" s="24"/>
      <c r="AB39" s="24"/>
      <c r="AC39" s="24">
        <f t="shared" si="21"/>
        <v>0</v>
      </c>
      <c r="AD39" s="24">
        <f t="shared" si="22"/>
        <v>0</v>
      </c>
    </row>
    <row r="40" spans="3:30" x14ac:dyDescent="0.2">
      <c r="C40" s="206">
        <v>4</v>
      </c>
      <c r="D40" s="17" t="s">
        <v>3</v>
      </c>
      <c r="E40" s="24"/>
      <c r="F40" s="24"/>
      <c r="G40" s="24"/>
      <c r="H40" s="24"/>
      <c r="I40" s="24"/>
      <c r="J40" s="24"/>
      <c r="K40" s="24"/>
      <c r="L40" s="24"/>
      <c r="M40" s="24"/>
      <c r="N40" s="24"/>
      <c r="O40" s="24"/>
      <c r="P40" s="24">
        <f t="shared" si="19"/>
        <v>0</v>
      </c>
      <c r="Q40" s="24">
        <f t="shared" si="20"/>
        <v>0</v>
      </c>
      <c r="R40" s="24"/>
      <c r="S40" s="24"/>
      <c r="T40" s="24"/>
      <c r="U40" s="24"/>
      <c r="V40" s="24"/>
      <c r="W40" s="24"/>
      <c r="X40" s="24"/>
      <c r="Y40" s="24"/>
      <c r="Z40" s="24"/>
      <c r="AA40" s="24"/>
      <c r="AB40" s="24"/>
      <c r="AC40" s="24">
        <f t="shared" si="21"/>
        <v>0</v>
      </c>
      <c r="AD40" s="24">
        <f t="shared" si="22"/>
        <v>0</v>
      </c>
    </row>
    <row r="41" spans="3:30" x14ac:dyDescent="0.2">
      <c r="C41" s="206">
        <v>8</v>
      </c>
      <c r="D41" s="17" t="s">
        <v>7</v>
      </c>
      <c r="E41" s="24"/>
      <c r="F41" s="24"/>
      <c r="G41" s="24"/>
      <c r="H41" s="24"/>
      <c r="I41" s="24"/>
      <c r="J41" s="24"/>
      <c r="K41" s="24"/>
      <c r="L41" s="24"/>
      <c r="M41" s="24"/>
      <c r="N41" s="24"/>
      <c r="O41" s="24"/>
      <c r="P41" s="24">
        <f t="shared" si="19"/>
        <v>0</v>
      </c>
      <c r="Q41" s="24">
        <f t="shared" si="20"/>
        <v>0</v>
      </c>
      <c r="R41" s="24"/>
      <c r="S41" s="24"/>
      <c r="T41" s="24"/>
      <c r="U41" s="24"/>
      <c r="V41" s="24"/>
      <c r="W41" s="24"/>
      <c r="X41" s="24"/>
      <c r="Y41" s="24"/>
      <c r="Z41" s="24"/>
      <c r="AA41" s="24"/>
      <c r="AB41" s="24"/>
      <c r="AC41" s="24">
        <f t="shared" si="21"/>
        <v>0</v>
      </c>
      <c r="AD41" s="24">
        <f t="shared" si="22"/>
        <v>0</v>
      </c>
    </row>
    <row r="42" spans="3:30" x14ac:dyDescent="0.2">
      <c r="C42" s="206">
        <v>9</v>
      </c>
      <c r="D42" s="17" t="s">
        <v>8</v>
      </c>
      <c r="E42" s="24"/>
      <c r="F42" s="24"/>
      <c r="G42" s="24"/>
      <c r="H42" s="24"/>
      <c r="I42" s="24"/>
      <c r="J42" s="24"/>
      <c r="K42" s="24"/>
      <c r="L42" s="24"/>
      <c r="M42" s="24"/>
      <c r="N42" s="24"/>
      <c r="O42" s="24"/>
      <c r="P42" s="24">
        <f t="shared" si="19"/>
        <v>0</v>
      </c>
      <c r="Q42" s="24">
        <f t="shared" si="20"/>
        <v>0</v>
      </c>
      <c r="R42" s="24"/>
      <c r="S42" s="24"/>
      <c r="T42" s="24"/>
      <c r="U42" s="24"/>
      <c r="V42" s="24"/>
      <c r="W42" s="24"/>
      <c r="X42" s="24"/>
      <c r="Y42" s="24"/>
      <c r="Z42" s="24"/>
      <c r="AA42" s="24"/>
      <c r="AB42" s="24"/>
      <c r="AC42" s="24">
        <f t="shared" si="21"/>
        <v>0</v>
      </c>
      <c r="AD42" s="24">
        <f t="shared" si="22"/>
        <v>0</v>
      </c>
    </row>
    <row r="43" spans="3:30" x14ac:dyDescent="0.2">
      <c r="C43" s="206">
        <v>10</v>
      </c>
      <c r="D43" s="17" t="s">
        <v>9</v>
      </c>
      <c r="E43" s="24"/>
      <c r="F43" s="24"/>
      <c r="G43" s="24"/>
      <c r="H43" s="24"/>
      <c r="I43" s="24"/>
      <c r="J43" s="24"/>
      <c r="K43" s="24"/>
      <c r="L43" s="24"/>
      <c r="M43" s="24"/>
      <c r="N43" s="24"/>
      <c r="O43" s="24"/>
      <c r="P43" s="24">
        <f t="shared" si="19"/>
        <v>0</v>
      </c>
      <c r="Q43" s="24">
        <f t="shared" si="20"/>
        <v>0</v>
      </c>
      <c r="R43" s="24"/>
      <c r="S43" s="24"/>
      <c r="T43" s="24"/>
      <c r="U43" s="24"/>
      <c r="V43" s="24"/>
      <c r="W43" s="24"/>
      <c r="X43" s="24"/>
      <c r="Y43" s="24"/>
      <c r="Z43" s="24"/>
      <c r="AA43" s="24"/>
      <c r="AB43" s="24"/>
      <c r="AC43" s="24">
        <f t="shared" si="21"/>
        <v>0</v>
      </c>
      <c r="AD43" s="24">
        <f t="shared" si="22"/>
        <v>0</v>
      </c>
    </row>
    <row r="44" spans="3:30" s="9" customFormat="1" x14ac:dyDescent="0.2">
      <c r="C44" s="10"/>
      <c r="D44" s="18" t="s">
        <v>56</v>
      </c>
      <c r="E44" s="26">
        <f t="shared" ref="E44:O44" si="23">SUM(E37:E43)</f>
        <v>527192.259968</v>
      </c>
      <c r="F44" s="26">
        <f t="shared" si="23"/>
        <v>0</v>
      </c>
      <c r="G44" s="26"/>
      <c r="H44" s="26">
        <f t="shared" si="23"/>
        <v>0</v>
      </c>
      <c r="I44" s="26">
        <f t="shared" si="23"/>
        <v>0</v>
      </c>
      <c r="J44" s="26">
        <f t="shared" si="23"/>
        <v>0</v>
      </c>
      <c r="K44" s="26">
        <f t="shared" si="23"/>
        <v>0</v>
      </c>
      <c r="L44" s="26">
        <f t="shared" si="23"/>
        <v>0</v>
      </c>
      <c r="M44" s="26">
        <f t="shared" si="23"/>
        <v>0</v>
      </c>
      <c r="N44" s="26">
        <f t="shared" si="23"/>
        <v>0</v>
      </c>
      <c r="O44" s="26">
        <f t="shared" si="23"/>
        <v>0</v>
      </c>
      <c r="P44" s="24">
        <f t="shared" si="19"/>
        <v>0</v>
      </c>
      <c r="Q44" s="26">
        <f t="shared" ref="Q44" si="24">SUM(Q37:Q43)</f>
        <v>0</v>
      </c>
      <c r="R44" s="26">
        <f>SUM(R37:R43)</f>
        <v>478576.9</v>
      </c>
      <c r="S44" s="26">
        <f t="shared" ref="S44:AD44" si="25">SUM(S37:S43)</f>
        <v>0</v>
      </c>
      <c r="T44" s="26"/>
      <c r="U44" s="26">
        <f t="shared" si="25"/>
        <v>0</v>
      </c>
      <c r="V44" s="26">
        <f t="shared" si="25"/>
        <v>0</v>
      </c>
      <c r="W44" s="26">
        <f t="shared" si="25"/>
        <v>0</v>
      </c>
      <c r="X44" s="26">
        <f t="shared" si="25"/>
        <v>0</v>
      </c>
      <c r="Y44" s="26">
        <f t="shared" si="25"/>
        <v>0</v>
      </c>
      <c r="Z44" s="26">
        <f t="shared" si="25"/>
        <v>0</v>
      </c>
      <c r="AA44" s="26">
        <f t="shared" si="25"/>
        <v>0</v>
      </c>
      <c r="AB44" s="26">
        <f t="shared" si="25"/>
        <v>0</v>
      </c>
      <c r="AC44" s="26">
        <f t="shared" si="25"/>
        <v>0</v>
      </c>
      <c r="AD44" s="26">
        <f t="shared" si="25"/>
        <v>0</v>
      </c>
    </row>
    <row r="47" spans="3:30" x14ac:dyDescent="0.2">
      <c r="C47" s="3" t="s">
        <v>22</v>
      </c>
      <c r="D47" s="6" t="s">
        <v>125</v>
      </c>
    </row>
    <row r="48" spans="3:30" x14ac:dyDescent="0.2">
      <c r="D48" s="8" t="s">
        <v>76</v>
      </c>
    </row>
  </sheetData>
  <mergeCells count="10">
    <mergeCell ref="AC5:AC7"/>
    <mergeCell ref="AD5:AD7"/>
    <mergeCell ref="E6:O6"/>
    <mergeCell ref="R6:AB6"/>
    <mergeCell ref="C5:C7"/>
    <mergeCell ref="D5:D7"/>
    <mergeCell ref="E5:O5"/>
    <mergeCell ref="P5:P7"/>
    <mergeCell ref="Q5:Q7"/>
    <mergeCell ref="R5:AB5"/>
  </mergeCells>
  <pageMargins left="0.12" right="0.79" top="0.67" bottom="0.75" header="0.3" footer="0.3"/>
  <pageSetup paperSize="5" scale="60" orientation="landscape" horizontalDpi="4294967293" verticalDpi="4294967293"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topLeftCell="C1" workbookViewId="0">
      <pane xSplit="2" ySplit="7" topLeftCell="G8" activePane="bottomRight" state="frozen"/>
      <selection activeCell="C1" sqref="C1"/>
      <selection pane="topRight" activeCell="E1" sqref="E1"/>
      <selection pane="bottomLeft" activeCell="C8" sqref="C8"/>
      <selection pane="bottomRight" activeCell="Q36" sqref="Q36"/>
    </sheetView>
  </sheetViews>
  <sheetFormatPr defaultColWidth="8.7109375" defaultRowHeight="11.25" x14ac:dyDescent="0.2"/>
  <cols>
    <col min="1" max="1" width="2.140625" style="6" bestFit="1" customWidth="1"/>
    <col min="2" max="2" width="2.42578125" style="6" customWidth="1"/>
    <col min="3" max="3" width="3.42578125" style="22" customWidth="1"/>
    <col min="4" max="4" width="49.140625" style="6" bestFit="1" customWidth="1"/>
    <col min="5" max="6" width="8.7109375" style="6" bestFit="1" customWidth="1"/>
    <col min="7" max="7" width="8.7109375" style="6" customWidth="1"/>
    <col min="8" max="10" width="8.140625" style="6" customWidth="1"/>
    <col min="11" max="11" width="9.5703125" style="6" bestFit="1" customWidth="1"/>
    <col min="12" max="12" width="8.140625" style="6" customWidth="1"/>
    <col min="13" max="13" width="8.7109375" style="6" bestFit="1" customWidth="1"/>
    <col min="14" max="15" width="8.140625" style="6" customWidth="1"/>
    <col min="16" max="16" width="9.5703125" style="6" bestFit="1" customWidth="1"/>
    <col min="17" max="17" width="8.42578125" style="6" customWidth="1"/>
    <col min="18" max="19" width="8.7109375" style="6" bestFit="1" customWidth="1"/>
    <col min="20" max="20" width="8.7109375" style="6" customWidth="1"/>
    <col min="21" max="23" width="8.140625" style="6" customWidth="1"/>
    <col min="24" max="24" width="9.5703125" style="6" bestFit="1" customWidth="1"/>
    <col min="25" max="25" width="8.140625" style="6" customWidth="1"/>
    <col min="26" max="26" width="8.7109375" style="6" bestFit="1" customWidth="1"/>
    <col min="27" max="28" width="8.140625" style="6" customWidth="1"/>
    <col min="29" max="29" width="10.85546875" style="6" bestFit="1" customWidth="1"/>
    <col min="30" max="30" width="8.42578125" style="6" customWidth="1"/>
    <col min="31" max="31" width="8.7109375" style="6"/>
    <col min="32" max="32" width="9.5703125" style="6" bestFit="1" customWidth="1"/>
    <col min="33" max="16384" width="8.7109375" style="6"/>
  </cols>
  <sheetData>
    <row r="1" spans="1:42" x14ac:dyDescent="0.2">
      <c r="A1" s="6" t="s">
        <v>12</v>
      </c>
      <c r="B1" s="6" t="s">
        <v>13</v>
      </c>
    </row>
    <row r="2" spans="1:42" x14ac:dyDescent="0.2">
      <c r="B2" s="6" t="s">
        <v>14</v>
      </c>
      <c r="C2" s="100" t="s">
        <v>15</v>
      </c>
      <c r="I2" s="6">
        <v>489443.19333099999</v>
      </c>
    </row>
    <row r="3" spans="1:42" x14ac:dyDescent="0.2">
      <c r="C3" s="3" t="s">
        <v>17</v>
      </c>
      <c r="D3" s="6" t="s">
        <v>16</v>
      </c>
      <c r="AD3" s="19" t="s">
        <v>239</v>
      </c>
    </row>
    <row r="4" spans="1:42" x14ac:dyDescent="0.2">
      <c r="AC4" s="137" t="s">
        <v>27</v>
      </c>
      <c r="AD4" s="138">
        <v>0.08</v>
      </c>
      <c r="AP4" s="19" t="s">
        <v>57</v>
      </c>
    </row>
    <row r="5" spans="1:42" s="20" customFormat="1" ht="14.45" customHeight="1" x14ac:dyDescent="0.25">
      <c r="C5" s="281" t="s">
        <v>18</v>
      </c>
      <c r="D5" s="281" t="s">
        <v>19</v>
      </c>
      <c r="E5" s="274" t="s">
        <v>243</v>
      </c>
      <c r="F5" s="274"/>
      <c r="G5" s="274"/>
      <c r="H5" s="274"/>
      <c r="I5" s="274"/>
      <c r="J5" s="274"/>
      <c r="K5" s="274"/>
      <c r="L5" s="274"/>
      <c r="M5" s="274"/>
      <c r="N5" s="274"/>
      <c r="O5" s="274"/>
      <c r="P5" s="281" t="s">
        <v>26</v>
      </c>
      <c r="Q5" s="280" t="s">
        <v>27</v>
      </c>
      <c r="R5" s="274" t="s">
        <v>58</v>
      </c>
      <c r="S5" s="274"/>
      <c r="T5" s="274"/>
      <c r="U5" s="274"/>
      <c r="V5" s="274"/>
      <c r="W5" s="274"/>
      <c r="X5" s="274"/>
      <c r="Y5" s="274"/>
      <c r="Z5" s="274"/>
      <c r="AA5" s="274"/>
      <c r="AB5" s="274"/>
      <c r="AC5" s="281" t="s">
        <v>26</v>
      </c>
      <c r="AD5" s="280" t="s">
        <v>27</v>
      </c>
    </row>
    <row r="6" spans="1:42" s="20" customFormat="1" x14ac:dyDescent="0.25">
      <c r="C6" s="281"/>
      <c r="D6" s="281"/>
      <c r="E6" s="281" t="s">
        <v>24</v>
      </c>
      <c r="F6" s="281"/>
      <c r="G6" s="281"/>
      <c r="H6" s="281"/>
      <c r="I6" s="281"/>
      <c r="J6" s="281"/>
      <c r="K6" s="281"/>
      <c r="L6" s="281"/>
      <c r="M6" s="281"/>
      <c r="N6" s="281"/>
      <c r="O6" s="281"/>
      <c r="P6" s="281"/>
      <c r="Q6" s="280"/>
      <c r="R6" s="281" t="s">
        <v>24</v>
      </c>
      <c r="S6" s="281"/>
      <c r="T6" s="281"/>
      <c r="U6" s="281"/>
      <c r="V6" s="281"/>
      <c r="W6" s="281"/>
      <c r="X6" s="281"/>
      <c r="Y6" s="281"/>
      <c r="Z6" s="281"/>
      <c r="AA6" s="281"/>
      <c r="AB6" s="281"/>
      <c r="AC6" s="281"/>
      <c r="AD6" s="280"/>
    </row>
    <row r="7" spans="1:42" s="21" customFormat="1" x14ac:dyDescent="0.25">
      <c r="C7" s="281"/>
      <c r="D7" s="281"/>
      <c r="E7" s="101">
        <v>0</v>
      </c>
      <c r="F7" s="101">
        <v>0.2</v>
      </c>
      <c r="G7" s="101">
        <v>0.25</v>
      </c>
      <c r="H7" s="101">
        <v>0.35</v>
      </c>
      <c r="I7" s="101">
        <v>0.4</v>
      </c>
      <c r="J7" s="101">
        <v>0.45</v>
      </c>
      <c r="K7" s="101">
        <v>0.5</v>
      </c>
      <c r="L7" s="101">
        <v>0.75</v>
      </c>
      <c r="M7" s="101">
        <v>1</v>
      </c>
      <c r="N7" s="101">
        <v>1.5</v>
      </c>
      <c r="O7" s="169" t="s">
        <v>25</v>
      </c>
      <c r="P7" s="281"/>
      <c r="Q7" s="280"/>
      <c r="R7" s="101">
        <v>0</v>
      </c>
      <c r="S7" s="101">
        <v>0.2</v>
      </c>
      <c r="T7" s="101">
        <v>0.25</v>
      </c>
      <c r="U7" s="101">
        <v>0.35</v>
      </c>
      <c r="V7" s="101">
        <v>0.4</v>
      </c>
      <c r="W7" s="101">
        <v>0.45</v>
      </c>
      <c r="X7" s="101">
        <v>0.5</v>
      </c>
      <c r="Y7" s="101">
        <v>0.75</v>
      </c>
      <c r="Z7" s="101">
        <v>1</v>
      </c>
      <c r="AA7" s="101">
        <v>1.5</v>
      </c>
      <c r="AB7" s="169" t="s">
        <v>25</v>
      </c>
      <c r="AC7" s="281"/>
      <c r="AD7" s="280"/>
    </row>
    <row r="8" spans="1:42" s="11" customFormat="1" ht="12" customHeight="1" x14ac:dyDescent="0.2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
      <c r="C10" s="168">
        <v>1</v>
      </c>
      <c r="D10" s="17" t="s">
        <v>0</v>
      </c>
      <c r="E10" s="24">
        <v>4912588.1720130006</v>
      </c>
      <c r="F10" s="24"/>
      <c r="G10" s="24"/>
      <c r="H10" s="24"/>
      <c r="I10" s="24"/>
      <c r="J10" s="24"/>
      <c r="K10" s="24"/>
      <c r="L10" s="24"/>
      <c r="M10" s="24"/>
      <c r="N10" s="24"/>
      <c r="O10" s="24"/>
      <c r="P10" s="181">
        <f>($R$7*E10)+($S$7*F10)+($T$7*G10)+($U$7*H10)+($V$7*I10)+($W$7*J10)+($X$7*K10)+($Y$7*L10)+($Z$7*M10)+($AA$7*N10)</f>
        <v>0</v>
      </c>
      <c r="Q10" s="24">
        <f>P10*$AD$4</f>
        <v>0</v>
      </c>
      <c r="R10" s="24">
        <v>4125714.0279359994</v>
      </c>
      <c r="S10" s="24"/>
      <c r="T10" s="24"/>
      <c r="U10" s="24"/>
      <c r="V10" s="24"/>
      <c r="W10" s="24"/>
      <c r="X10" s="24"/>
      <c r="Y10" s="24"/>
      <c r="Z10" s="24"/>
      <c r="AA10" s="24"/>
      <c r="AB10" s="24"/>
      <c r="AC10" s="24">
        <f>R10*R7</f>
        <v>0</v>
      </c>
      <c r="AD10" s="24">
        <f>AC10*$AD$4</f>
        <v>0</v>
      </c>
    </row>
    <row r="11" spans="1:42" x14ac:dyDescent="0.2">
      <c r="C11" s="168">
        <v>2</v>
      </c>
      <c r="D11" s="17" t="s">
        <v>1</v>
      </c>
      <c r="E11" s="24"/>
      <c r="F11" s="24">
        <v>43992.41</v>
      </c>
      <c r="G11" s="24"/>
      <c r="H11" s="24"/>
      <c r="I11" s="24"/>
      <c r="J11" s="24"/>
      <c r="K11" s="24">
        <f>19735.2+1178.324932</f>
        <v>20913.524932</v>
      </c>
      <c r="L11" s="24"/>
      <c r="M11" s="24"/>
      <c r="N11" s="24"/>
      <c r="O11" s="24"/>
      <c r="P11" s="181">
        <f>($R$7*E11)+($S$7*F11)+($T$7*G11)+($U$7*H11)+($V$7*I11)+($W$7*J11)+($X$7*K11)+($Y$7*L11)+($Z$7*M11)+($AA$7*N11)</f>
        <v>19255.244466000004</v>
      </c>
      <c r="Q11" s="27">
        <f>P11*$AD$4</f>
        <v>1540.4195572800004</v>
      </c>
      <c r="R11" s="24">
        <v>13392.857145</v>
      </c>
      <c r="S11" s="24">
        <v>80965.2</v>
      </c>
      <c r="T11" s="24"/>
      <c r="U11" s="24"/>
      <c r="V11" s="24"/>
      <c r="W11" s="24"/>
      <c r="X11" s="24">
        <f>19953.7+359.080115999999</f>
        <v>20312.780115999998</v>
      </c>
      <c r="Y11" s="24"/>
      <c r="Z11" s="24"/>
      <c r="AA11" s="24"/>
      <c r="AB11" s="24"/>
      <c r="AC11" s="181">
        <f>($R$7*R11)+($S$7*S11)+($T$7*T11)+($U$7*U11)+($V$7*V11)+($W$7*W11)+($X$7*X11)+($Y$7*Y11)+($Z$7*Z11)+($AA$7*AA11)</f>
        <v>26349.430057999998</v>
      </c>
      <c r="AD11" s="24">
        <f>AC11*$AD$4</f>
        <v>2107.9544046399997</v>
      </c>
    </row>
    <row r="12" spans="1:42" x14ac:dyDescent="0.2">
      <c r="C12" s="168">
        <v>3</v>
      </c>
      <c r="D12" s="17" t="s">
        <v>2</v>
      </c>
      <c r="E12" s="24"/>
      <c r="F12" s="24"/>
      <c r="G12" s="24"/>
      <c r="H12" s="24"/>
      <c r="I12" s="24"/>
      <c r="J12" s="24"/>
      <c r="K12" s="24">
        <v>463.74705499999999</v>
      </c>
      <c r="L12" s="24"/>
      <c r="M12" s="24"/>
      <c r="N12" s="24"/>
      <c r="O12" s="24"/>
      <c r="P12" s="181">
        <f t="shared" ref="P12:P13" si="0">($R$7*E12)+($S$7*F12)+($T$7*G12)+($U$7*H12)+($V$7*I12)+($W$7*J12)+($X$7*K12)+($Y$7*L12)+($Z$7*M12)+($AA$7*N12)</f>
        <v>231.87352749999999</v>
      </c>
      <c r="Q12" s="24">
        <f t="shared" ref="Q12:Q20" si="1">P12*$AD$4</f>
        <v>18.549882199999999</v>
      </c>
      <c r="R12" s="24"/>
      <c r="S12" s="24"/>
      <c r="T12" s="24"/>
      <c r="U12" s="24"/>
      <c r="V12" s="24"/>
      <c r="W12" s="24"/>
      <c r="X12" s="24">
        <v>175.88904600000001</v>
      </c>
      <c r="Y12" s="24"/>
      <c r="Z12" s="24"/>
      <c r="AA12" s="24"/>
      <c r="AB12" s="24"/>
      <c r="AC12" s="181">
        <f t="shared" ref="AC12:AC20" si="2">($R$7*R12)+($S$7*S12)+($T$7*T12)+($U$7*U12)+($V$7*V12)+($W$7*W12)+($X$7*X12)+($Y$7*Y12)+($Z$7*Z12)+($AA$7*AA12)</f>
        <v>87.944523000000004</v>
      </c>
      <c r="AD12" s="24">
        <f t="shared" ref="AD12:AD20" si="3">AC12*$AD$4</f>
        <v>7.0355618400000006</v>
      </c>
    </row>
    <row r="13" spans="1:42" x14ac:dyDescent="0.2">
      <c r="C13" s="168">
        <v>4</v>
      </c>
      <c r="D13" s="17" t="s">
        <v>3</v>
      </c>
      <c r="E13" s="24"/>
      <c r="F13" s="24">
        <f>2901563.113902+228558.78672+158286.476002</f>
        <v>3288408.3766239998</v>
      </c>
      <c r="G13" s="24"/>
      <c r="H13" s="24"/>
      <c r="I13" s="24"/>
      <c r="J13" s="24"/>
      <c r="K13" s="24">
        <f>91836.5+58440.477352</f>
        <v>150276.97735200002</v>
      </c>
      <c r="L13" s="24"/>
      <c r="M13" s="24"/>
      <c r="N13" s="24"/>
      <c r="O13" s="24"/>
      <c r="P13" s="181">
        <f t="shared" si="0"/>
        <v>732820.1640008</v>
      </c>
      <c r="Q13" s="24">
        <f t="shared" si="1"/>
        <v>58625.613120064001</v>
      </c>
      <c r="R13" s="24"/>
      <c r="S13" s="24">
        <f>995419.531179+254628.003383+115121.815441</f>
        <v>1365169.3500030001</v>
      </c>
      <c r="T13" s="24"/>
      <c r="U13" s="24"/>
      <c r="V13" s="24"/>
      <c r="W13" s="24"/>
      <c r="X13" s="24">
        <f>80055.8+5.651341</f>
        <v>80061.451341000007</v>
      </c>
      <c r="Y13" s="24"/>
      <c r="Z13" s="24"/>
      <c r="AA13" s="24"/>
      <c r="AB13" s="24"/>
      <c r="AC13" s="181">
        <f t="shared" si="2"/>
        <v>313064.59567110008</v>
      </c>
      <c r="AD13" s="24">
        <f t="shared" si="3"/>
        <v>25045.167653688008</v>
      </c>
    </row>
    <row r="14" spans="1:42" x14ac:dyDescent="0.2">
      <c r="C14" s="168">
        <v>5</v>
      </c>
      <c r="D14" s="17" t="s">
        <v>4</v>
      </c>
      <c r="E14" s="24"/>
      <c r="F14" s="24">
        <v>70625.574565000003</v>
      </c>
      <c r="G14" s="24">
        <v>87166.935931</v>
      </c>
      <c r="H14" s="24">
        <v>213498.59416799998</v>
      </c>
      <c r="I14" s="24"/>
      <c r="J14" s="24"/>
      <c r="K14" s="24"/>
      <c r="L14" s="24"/>
      <c r="M14" s="24"/>
      <c r="N14" s="24"/>
      <c r="O14" s="24"/>
      <c r="P14" s="181">
        <f>($R$7*E14)+($S$7*F14)+($T$7*G14)+($U$7*H14)+($V$7*I14)+($W$7*J14)+($X$7*K14)+($Y$7*L14)+($Z$7*M14)+($AA$7*N14)</f>
        <v>110641.35685454999</v>
      </c>
      <c r="Q14" s="24">
        <f t="shared" si="1"/>
        <v>8851.3085483639989</v>
      </c>
      <c r="R14" s="24"/>
      <c r="S14" s="24"/>
      <c r="T14" s="24"/>
      <c r="U14" s="24">
        <v>241209.872431</v>
      </c>
      <c r="V14" s="24"/>
      <c r="W14" s="24"/>
      <c r="X14" s="24"/>
      <c r="Y14" s="24"/>
      <c r="Z14" s="24"/>
      <c r="AA14" s="24"/>
      <c r="AB14" s="24"/>
      <c r="AC14" s="181">
        <f t="shared" si="2"/>
        <v>84423.455350849996</v>
      </c>
      <c r="AD14" s="24">
        <f>AC14*$AD$4</f>
        <v>6753.8764280679998</v>
      </c>
    </row>
    <row r="15" spans="1:42" x14ac:dyDescent="0.2">
      <c r="C15" s="168">
        <v>6</v>
      </c>
      <c r="D15" s="17" t="s">
        <v>5</v>
      </c>
      <c r="E15" s="24"/>
      <c r="F15" s="24"/>
      <c r="G15" s="24"/>
      <c r="H15" s="24"/>
      <c r="I15" s="24"/>
      <c r="J15" s="24"/>
      <c r="K15" s="24"/>
      <c r="L15" s="24"/>
      <c r="M15" s="24">
        <v>106468.491033</v>
      </c>
      <c r="N15" s="24"/>
      <c r="O15" s="24"/>
      <c r="P15" s="181">
        <f>($R$7*E15)+($S$7*F15)+($T$7*G15)+($U$7*H15)+($V$7*I15)+($W$7*J15)+($X$7*K15)+($Y$7*L15)+($Z$7*M15)+($AA$7*N15)</f>
        <v>106468.491033</v>
      </c>
      <c r="Q15" s="24">
        <f>P15*$AD$4</f>
        <v>8517.4792826400007</v>
      </c>
      <c r="R15" s="24"/>
      <c r="S15" s="24"/>
      <c r="T15" s="24"/>
      <c r="U15" s="24"/>
      <c r="V15" s="24"/>
      <c r="W15" s="24"/>
      <c r="X15" s="24"/>
      <c r="Y15" s="24"/>
      <c r="Z15" s="24">
        <v>62471.178787999997</v>
      </c>
      <c r="AA15" s="24"/>
      <c r="AB15" s="24"/>
      <c r="AC15" s="181">
        <f t="shared" si="2"/>
        <v>62471.178787999997</v>
      </c>
      <c r="AD15" s="24">
        <f t="shared" si="3"/>
        <v>4997.6943030399998</v>
      </c>
    </row>
    <row r="16" spans="1:42" x14ac:dyDescent="0.2">
      <c r="C16" s="168">
        <v>7</v>
      </c>
      <c r="D16" s="17" t="s">
        <v>6</v>
      </c>
      <c r="E16" s="24">
        <v>2447.015731</v>
      </c>
      <c r="F16" s="24">
        <v>4.7039879999999998</v>
      </c>
      <c r="G16" s="24"/>
      <c r="H16" s="24"/>
      <c r="I16" s="24"/>
      <c r="J16" s="24"/>
      <c r="K16" s="24">
        <v>10704866.407411</v>
      </c>
      <c r="L16" s="24"/>
      <c r="M16" s="24"/>
      <c r="N16" s="24"/>
      <c r="O16" s="24"/>
      <c r="P16" s="181">
        <f t="shared" ref="P16:P18" si="4">($R$7*E16)+($S$7*F16)+($T$7*G16)+($U$7*H16)+($V$7*I16)+($W$7*J16)+($X$7*K16)+($Y$7*L16)+($Z$7*M16)+($AA$7*N16)</f>
        <v>5352434.1445030998</v>
      </c>
      <c r="Q16" s="24">
        <f t="shared" si="1"/>
        <v>428194.73156024801</v>
      </c>
      <c r="R16" s="24">
        <v>1248.4777799999999</v>
      </c>
      <c r="S16" s="24">
        <v>13.352757</v>
      </c>
      <c r="T16" s="24"/>
      <c r="U16" s="24"/>
      <c r="V16" s="24"/>
      <c r="W16" s="24"/>
      <c r="X16" s="24">
        <v>10122579.820512999</v>
      </c>
      <c r="Y16" s="24"/>
      <c r="Z16" s="24"/>
      <c r="AA16" s="24"/>
      <c r="AB16" s="24"/>
      <c r="AC16" s="181">
        <f t="shared" si="2"/>
        <v>5061292.5808078991</v>
      </c>
      <c r="AD16" s="24">
        <f t="shared" si="3"/>
        <v>404903.40646463196</v>
      </c>
    </row>
    <row r="17" spans="3:32" x14ac:dyDescent="0.2">
      <c r="C17" s="168">
        <v>8</v>
      </c>
      <c r="D17" s="17" t="s">
        <v>7</v>
      </c>
      <c r="E17" s="24">
        <v>7457.1763639999999</v>
      </c>
      <c r="F17" s="24">
        <v>62694.728048999998</v>
      </c>
      <c r="G17" s="24"/>
      <c r="H17" s="24"/>
      <c r="I17" s="24"/>
      <c r="J17" s="24"/>
      <c r="K17" s="24"/>
      <c r="L17" s="24">
        <v>977678.186491</v>
      </c>
      <c r="M17" s="24"/>
      <c r="N17" s="24"/>
      <c r="O17" s="24"/>
      <c r="P17" s="181">
        <f t="shared" si="4"/>
        <v>745797.58547805005</v>
      </c>
      <c r="Q17" s="24">
        <f t="shared" si="1"/>
        <v>59663.806838244003</v>
      </c>
      <c r="R17" s="24">
        <v>7517.7974919999997</v>
      </c>
      <c r="S17" s="24">
        <v>79345.935245999994</v>
      </c>
      <c r="T17" s="24"/>
      <c r="U17" s="24"/>
      <c r="V17" s="24"/>
      <c r="W17" s="24"/>
      <c r="X17" s="24"/>
      <c r="Y17" s="24">
        <v>933583.85194600001</v>
      </c>
      <c r="Z17" s="24"/>
      <c r="AA17" s="24"/>
      <c r="AB17" s="24"/>
      <c r="AC17" s="181">
        <f t="shared" si="2"/>
        <v>716057.07600869995</v>
      </c>
      <c r="AD17" s="24">
        <f t="shared" si="3"/>
        <v>57284.566080696</v>
      </c>
    </row>
    <row r="18" spans="3:32" x14ac:dyDescent="0.2">
      <c r="C18" s="168">
        <v>9</v>
      </c>
      <c r="D18" s="17" t="s">
        <v>8</v>
      </c>
      <c r="E18" s="24">
        <v>18560.834605</v>
      </c>
      <c r="F18" s="24"/>
      <c r="G18" s="24"/>
      <c r="H18" s="24"/>
      <c r="I18" s="24"/>
      <c r="J18" s="24"/>
      <c r="K18" s="24">
        <v>50000</v>
      </c>
      <c r="L18" s="24"/>
      <c r="M18" s="24">
        <v>2422396.4760579998</v>
      </c>
      <c r="N18" s="24"/>
      <c r="O18" s="24"/>
      <c r="P18" s="181">
        <f t="shared" si="4"/>
        <v>2447396.4760579998</v>
      </c>
      <c r="Q18" s="24">
        <f t="shared" si="1"/>
        <v>195791.71808463999</v>
      </c>
      <c r="R18" s="24">
        <v>41977.045234999998</v>
      </c>
      <c r="S18" s="24">
        <f>89998.4+200</f>
        <v>90198.399999999994</v>
      </c>
      <c r="T18" s="24"/>
      <c r="U18" s="24"/>
      <c r="V18" s="24"/>
      <c r="W18" s="24"/>
      <c r="X18" s="24">
        <v>50000</v>
      </c>
      <c r="Y18" s="24"/>
      <c r="Z18" s="24">
        <v>1634023.3239059998</v>
      </c>
      <c r="AA18" s="24"/>
      <c r="AB18" s="24"/>
      <c r="AC18" s="181">
        <f t="shared" si="2"/>
        <v>1677063.0039059997</v>
      </c>
      <c r="AD18" s="24">
        <f t="shared" si="3"/>
        <v>134165.04031247998</v>
      </c>
    </row>
    <row r="19" spans="3:32" x14ac:dyDescent="0.2">
      <c r="C19" s="168">
        <v>10</v>
      </c>
      <c r="D19" s="17" t="s">
        <v>9</v>
      </c>
      <c r="E19" s="24">
        <v>20.630958</v>
      </c>
      <c r="F19" s="24">
        <v>558.74902199999997</v>
      </c>
      <c r="G19" s="24"/>
      <c r="H19" s="24"/>
      <c r="I19" s="24"/>
      <c r="J19" s="24"/>
      <c r="K19" s="24"/>
      <c r="L19" s="24"/>
      <c r="M19" s="24">
        <v>7838.2910649999976</v>
      </c>
      <c r="N19" s="24">
        <v>299607.80215599999</v>
      </c>
      <c r="O19" s="24"/>
      <c r="P19" s="181">
        <f>($R$7*E19)+($S$7*F19)+($T$7*G19)+($U$7*H19)+($V$7*I19)+($W$7*J19)+($X$7*K19)+($Y$7*L19)+($Z$7*M19)+($AA$7*N19)</f>
        <v>457361.74410340004</v>
      </c>
      <c r="Q19" s="24">
        <f t="shared" si="1"/>
        <v>36588.939528272007</v>
      </c>
      <c r="R19" s="24"/>
      <c r="S19" s="24">
        <v>659.07922299999996</v>
      </c>
      <c r="T19" s="24"/>
      <c r="U19" s="24"/>
      <c r="V19" s="24"/>
      <c r="W19" s="24"/>
      <c r="X19" s="24"/>
      <c r="Y19" s="24"/>
      <c r="Z19" s="24">
        <v>129425.98253800001</v>
      </c>
      <c r="AA19" s="24">
        <v>156702.50181000002</v>
      </c>
      <c r="AB19" s="24"/>
      <c r="AC19" s="181">
        <f t="shared" si="2"/>
        <v>364611.55109760002</v>
      </c>
      <c r="AD19" s="24">
        <f t="shared" si="3"/>
        <v>29168.924087808002</v>
      </c>
    </row>
    <row r="20" spans="3:32" x14ac:dyDescent="0.2">
      <c r="C20" s="168">
        <v>11</v>
      </c>
      <c r="D20" s="17" t="s">
        <v>10</v>
      </c>
      <c r="E20" s="24">
        <v>501495.81989799999</v>
      </c>
      <c r="F20" s="24"/>
      <c r="G20" s="24"/>
      <c r="H20" s="24"/>
      <c r="I20" s="24"/>
      <c r="J20" s="24"/>
      <c r="K20" s="24"/>
      <c r="L20" s="24"/>
      <c r="M20" s="24">
        <v>1772314.1277310001</v>
      </c>
      <c r="N20" s="24"/>
      <c r="O20" s="24"/>
      <c r="P20" s="181">
        <f>($R$7*E20)+($S$7*F20)+($T$7*G20)+($U$7*H20)+($V$7*I20)+($W$7*J20)+($X$7*K20)+($Y$7*L20)+($Z$7*M20)+($AA$7*N20)</f>
        <v>1772314.1277310001</v>
      </c>
      <c r="Q20" s="24">
        <f t="shared" si="1"/>
        <v>141785.13021848002</v>
      </c>
      <c r="R20" s="24">
        <v>574121.21010200004</v>
      </c>
      <c r="S20" s="24"/>
      <c r="T20" s="24"/>
      <c r="U20" s="24"/>
      <c r="V20" s="24"/>
      <c r="W20" s="24"/>
      <c r="X20" s="24"/>
      <c r="Y20" s="24"/>
      <c r="Z20" s="24">
        <f>1132044.297288+489443.193331</f>
        <v>1621487.4906189998</v>
      </c>
      <c r="AA20" s="24"/>
      <c r="AB20" s="24"/>
      <c r="AC20" s="181">
        <f t="shared" si="2"/>
        <v>1621487.4906189998</v>
      </c>
      <c r="AD20" s="24">
        <f t="shared" si="3"/>
        <v>129718.99924951998</v>
      </c>
    </row>
    <row r="21" spans="3:32" s="9" customFormat="1" x14ac:dyDescent="0.2">
      <c r="C21" s="10"/>
      <c r="D21" s="18" t="s">
        <v>51</v>
      </c>
      <c r="E21" s="26">
        <f>SUM(E10:E20)</f>
        <v>5442569.649569001</v>
      </c>
      <c r="F21" s="26">
        <f t="shared" ref="F21:O21" si="5">SUM(F10:F20)</f>
        <v>3466284.5422479995</v>
      </c>
      <c r="G21" s="26"/>
      <c r="H21" s="26">
        <f t="shared" si="5"/>
        <v>213498.59416799998</v>
      </c>
      <c r="I21" s="26">
        <f t="shared" si="5"/>
        <v>0</v>
      </c>
      <c r="J21" s="26">
        <f t="shared" si="5"/>
        <v>0</v>
      </c>
      <c r="K21" s="26">
        <f t="shared" si="5"/>
        <v>10926520.656749999</v>
      </c>
      <c r="L21" s="26">
        <f t="shared" si="5"/>
        <v>977678.186491</v>
      </c>
      <c r="M21" s="26">
        <f t="shared" si="5"/>
        <v>4309017.3858869998</v>
      </c>
      <c r="N21" s="26">
        <f t="shared" si="5"/>
        <v>299607.80215599999</v>
      </c>
      <c r="O21" s="26">
        <f t="shared" si="5"/>
        <v>0</v>
      </c>
      <c r="P21" s="26">
        <f>SUM(P10:P20)</f>
        <v>11744721.207755398</v>
      </c>
      <c r="Q21" s="26">
        <f t="shared" ref="Q21" si="6">SUM(Q10:Q20)</f>
        <v>939577.69662043196</v>
      </c>
      <c r="R21" s="26">
        <v>4763971.4156899992</v>
      </c>
      <c r="S21" s="26">
        <v>1616351.3172289999</v>
      </c>
      <c r="T21" s="26"/>
      <c r="U21" s="26">
        <v>241209.872431</v>
      </c>
      <c r="V21" s="26">
        <v>0</v>
      </c>
      <c r="W21" s="26">
        <v>0</v>
      </c>
      <c r="X21" s="26">
        <v>10273129.941016</v>
      </c>
      <c r="Y21" s="26">
        <v>933583.85194600001</v>
      </c>
      <c r="Z21" s="26">
        <v>3447407.9758509998</v>
      </c>
      <c r="AA21" s="26">
        <v>156702.50181000002</v>
      </c>
      <c r="AB21" s="26">
        <v>0</v>
      </c>
      <c r="AC21" s="26">
        <f>SUM(AC10:AC20)</f>
        <v>9926908.3068301473</v>
      </c>
      <c r="AD21" s="26">
        <f t="shared" ref="AD21" si="7">SUM(AD10:AD20)</f>
        <v>794152.66454641195</v>
      </c>
    </row>
    <row r="22" spans="3:32" x14ac:dyDescent="0.2">
      <c r="C22" s="168"/>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
      <c r="C24" s="168">
        <v>1</v>
      </c>
      <c r="D24" s="17" t="s">
        <v>0</v>
      </c>
      <c r="E24" s="24">
        <v>32.611588599999997</v>
      </c>
      <c r="F24" s="24"/>
      <c r="G24" s="24"/>
      <c r="H24" s="24"/>
      <c r="I24" s="24"/>
      <c r="J24" s="24"/>
      <c r="K24" s="24"/>
      <c r="L24" s="24"/>
      <c r="M24" s="24"/>
      <c r="N24" s="24"/>
      <c r="O24" s="24"/>
      <c r="P24" s="181">
        <f>($R$7*E24)+($S$7*F24)+($T$7*G24)+($U$7*H24)+($V$7*I24)+($W$7*J24)+($X$7*K24)+($Y$7*L24)+($Z$7*M24)+($AA$7*N24)</f>
        <v>0</v>
      </c>
      <c r="Q24" s="24">
        <f>P24*$AD$4</f>
        <v>0</v>
      </c>
      <c r="R24" s="24">
        <v>0</v>
      </c>
      <c r="S24" s="24">
        <v>0</v>
      </c>
      <c r="T24" s="24"/>
      <c r="U24" s="24">
        <v>0</v>
      </c>
      <c r="V24" s="24">
        <v>0</v>
      </c>
      <c r="W24" s="24">
        <v>0</v>
      </c>
      <c r="X24" s="24">
        <v>0</v>
      </c>
      <c r="Y24" s="24">
        <v>0</v>
      </c>
      <c r="Z24" s="24">
        <v>0</v>
      </c>
      <c r="AA24" s="24">
        <v>0</v>
      </c>
      <c r="AB24" s="24">
        <v>0</v>
      </c>
      <c r="AC24" s="181">
        <f>($R$7*R24)+($S$7*S24)+($T$7*T24)+($U$7*U24)+($V$7*V24)+($W$7*W24)+($X$7*X24)+($Y$7*Y24)+($Z$7*Z24)+($AA$7*AA24)</f>
        <v>0</v>
      </c>
      <c r="AD24" s="24">
        <f>AC24*$AD$4</f>
        <v>0</v>
      </c>
      <c r="AF24" s="119">
        <f>AC21+AC34</f>
        <v>10305530.303684553</v>
      </c>
    </row>
    <row r="25" spans="3:32" x14ac:dyDescent="0.2">
      <c r="C25" s="168">
        <v>2</v>
      </c>
      <c r="D25" s="17" t="s">
        <v>1</v>
      </c>
      <c r="E25" s="24">
        <v>163.83636849999999</v>
      </c>
      <c r="F25" s="24"/>
      <c r="G25" s="24"/>
      <c r="H25" s="24"/>
      <c r="I25" s="24"/>
      <c r="J25" s="24"/>
      <c r="K25" s="24">
        <f>224.593379999999+4351.786279</f>
        <v>4576.3796589999993</v>
      </c>
      <c r="L25" s="24"/>
      <c r="M25" s="24"/>
      <c r="N25" s="24"/>
      <c r="O25" s="24"/>
      <c r="P25" s="181">
        <f t="shared" ref="P25:P33" si="8">($R$7*E25)+($S$7*F25)+($T$7*G25)+($U$7*H25)+($V$7*I25)+($W$7*J25)+($X$7*K25)+($Y$7*L25)+($Z$7*M25)+($AA$7*N25)</f>
        <v>2288.1898294999996</v>
      </c>
      <c r="Q25" s="24">
        <f t="shared" ref="Q25:Q33" si="9">P25*$AD$4</f>
        <v>183.05518635999996</v>
      </c>
      <c r="R25" s="24">
        <v>55874.268990500001</v>
      </c>
      <c r="S25" s="24"/>
      <c r="T25" s="24"/>
      <c r="U25" s="24"/>
      <c r="V25" s="24"/>
      <c r="W25" s="24"/>
      <c r="X25" s="24">
        <f>1916.66949999999+78103.9877145</f>
        <v>80020.657214499995</v>
      </c>
      <c r="Y25" s="24"/>
      <c r="Z25" s="24"/>
      <c r="AA25" s="24">
        <v>0</v>
      </c>
      <c r="AB25" s="24">
        <v>0</v>
      </c>
      <c r="AC25" s="181">
        <f>($R$7*R25)+($S$7*S25)+($T$7*T25)+($U$7*U25)+($V$7*V25)+($W$7*W25)+($X$7*X25)+($Y$7*Y25)+($Z$7*Z25)+($AA$7*AA25)</f>
        <v>40010.328607249998</v>
      </c>
      <c r="AD25" s="27">
        <f>AC25*$AD$4</f>
        <v>3200.82628858</v>
      </c>
    </row>
    <row r="26" spans="3:32" x14ac:dyDescent="0.2">
      <c r="C26" s="168">
        <v>3</v>
      </c>
      <c r="D26" s="17" t="s">
        <v>2</v>
      </c>
      <c r="E26" s="24"/>
      <c r="F26" s="24"/>
      <c r="G26" s="24"/>
      <c r="H26" s="24"/>
      <c r="I26" s="24"/>
      <c r="J26" s="24"/>
      <c r="K26" s="24"/>
      <c r="L26" s="24"/>
      <c r="M26" s="24"/>
      <c r="N26" s="24"/>
      <c r="O26" s="24"/>
      <c r="P26" s="181">
        <f t="shared" si="8"/>
        <v>0</v>
      </c>
      <c r="Q26" s="24">
        <f t="shared" si="9"/>
        <v>0</v>
      </c>
      <c r="R26" s="24"/>
      <c r="S26" s="24"/>
      <c r="T26" s="24"/>
      <c r="U26" s="24"/>
      <c r="V26" s="24"/>
      <c r="W26" s="24"/>
      <c r="X26" s="24"/>
      <c r="Y26" s="24"/>
      <c r="Z26" s="24"/>
      <c r="AA26" s="24">
        <v>0</v>
      </c>
      <c r="AB26" s="24">
        <v>0</v>
      </c>
      <c r="AC26" s="181">
        <f t="shared" ref="AC26:AC32" si="10">($R$7*R26)+($S$7*S26)+($T$7*T26)+($U$7*U26)+($V$7*V26)+($W$7*W26)+($X$7*X26)+($Y$7*Y26)+($Z$7*Z26)+($AA$7*AA26)</f>
        <v>0</v>
      </c>
      <c r="AD26" s="24">
        <f t="shared" ref="AD26:AD33" si="11">AC26*$AD$4</f>
        <v>0</v>
      </c>
    </row>
    <row r="27" spans="3:32" x14ac:dyDescent="0.2">
      <c r="C27" s="168">
        <v>4</v>
      </c>
      <c r="D27" s="17" t="s">
        <v>3</v>
      </c>
      <c r="E27" s="24"/>
      <c r="F27" s="24">
        <v>89.357516799999999</v>
      </c>
      <c r="G27" s="24"/>
      <c r="H27" s="24"/>
      <c r="I27" s="24"/>
      <c r="J27" s="24"/>
      <c r="K27" s="24"/>
      <c r="L27" s="24"/>
      <c r="M27" s="24"/>
      <c r="N27" s="24"/>
      <c r="O27" s="24"/>
      <c r="P27" s="181">
        <f t="shared" si="8"/>
        <v>17.871503360000002</v>
      </c>
      <c r="Q27" s="24">
        <f t="shared" si="9"/>
        <v>1.4297202688000001</v>
      </c>
      <c r="R27" s="24"/>
      <c r="S27" s="24">
        <v>4166.1134934000002</v>
      </c>
      <c r="T27" s="24"/>
      <c r="U27" s="24"/>
      <c r="V27" s="24"/>
      <c r="W27" s="24"/>
      <c r="X27" s="24"/>
      <c r="Y27" s="24"/>
      <c r="Z27" s="24"/>
      <c r="AA27" s="24">
        <v>0</v>
      </c>
      <c r="AB27" s="24">
        <v>0</v>
      </c>
      <c r="AC27" s="181">
        <f t="shared" si="10"/>
        <v>833.22269868000012</v>
      </c>
      <c r="AD27" s="24">
        <f t="shared" si="11"/>
        <v>66.657815894400017</v>
      </c>
    </row>
    <row r="28" spans="3:32" x14ac:dyDescent="0.2">
      <c r="C28" s="168">
        <v>5</v>
      </c>
      <c r="D28" s="17" t="s">
        <v>4</v>
      </c>
      <c r="E28" s="24"/>
      <c r="F28" s="24"/>
      <c r="G28" s="24"/>
      <c r="H28" s="24">
        <v>28.4766975</v>
      </c>
      <c r="I28" s="24"/>
      <c r="J28" s="24"/>
      <c r="K28" s="24"/>
      <c r="L28" s="24"/>
      <c r="M28" s="24"/>
      <c r="N28" s="24"/>
      <c r="O28" s="24"/>
      <c r="P28" s="181">
        <f t="shared" si="8"/>
        <v>9.9668441249999997</v>
      </c>
      <c r="Q28" s="24">
        <f t="shared" si="9"/>
        <v>0.79734753000000003</v>
      </c>
      <c r="R28" s="24"/>
      <c r="S28" s="24"/>
      <c r="T28" s="24"/>
      <c r="U28" s="24">
        <v>28.866493999999999</v>
      </c>
      <c r="V28" s="24"/>
      <c r="W28" s="24"/>
      <c r="X28" s="24"/>
      <c r="Y28" s="24"/>
      <c r="Z28" s="24"/>
      <c r="AA28" s="24"/>
      <c r="AB28" s="24"/>
      <c r="AC28" s="181">
        <f t="shared" si="10"/>
        <v>10.103272899999999</v>
      </c>
      <c r="AD28" s="24">
        <f t="shared" si="11"/>
        <v>0.8082618319999999</v>
      </c>
    </row>
    <row r="29" spans="3:32" x14ac:dyDescent="0.2">
      <c r="C29" s="168">
        <v>6</v>
      </c>
      <c r="D29" s="17" t="s">
        <v>5</v>
      </c>
      <c r="E29" s="24"/>
      <c r="F29" s="24"/>
      <c r="G29" s="24"/>
      <c r="H29" s="24"/>
      <c r="I29" s="24"/>
      <c r="J29" s="24"/>
      <c r="K29" s="24"/>
      <c r="L29" s="24"/>
      <c r="M29" s="24">
        <v>1428.0275810000001</v>
      </c>
      <c r="N29" s="24"/>
      <c r="O29" s="24"/>
      <c r="P29" s="181">
        <f t="shared" si="8"/>
        <v>1428.0275810000001</v>
      </c>
      <c r="Q29" s="24">
        <f t="shared" si="9"/>
        <v>114.24220648000001</v>
      </c>
      <c r="R29" s="24"/>
      <c r="S29" s="24"/>
      <c r="T29" s="24"/>
      <c r="U29" s="24"/>
      <c r="V29" s="24"/>
      <c r="W29" s="24"/>
      <c r="X29" s="24"/>
      <c r="Y29" s="24"/>
      <c r="Z29" s="24"/>
      <c r="AA29" s="24">
        <v>0</v>
      </c>
      <c r="AB29" s="24">
        <v>0</v>
      </c>
      <c r="AC29" s="181">
        <f t="shared" si="10"/>
        <v>0</v>
      </c>
      <c r="AD29" s="24">
        <f t="shared" si="11"/>
        <v>0</v>
      </c>
    </row>
    <row r="30" spans="3:32" x14ac:dyDescent="0.2">
      <c r="C30" s="168">
        <v>7</v>
      </c>
      <c r="D30" s="17" t="s">
        <v>6</v>
      </c>
      <c r="E30" s="24"/>
      <c r="F30" s="24"/>
      <c r="G30" s="24"/>
      <c r="H30" s="24"/>
      <c r="I30" s="24"/>
      <c r="J30" s="24"/>
      <c r="K30" s="24">
        <v>1.3168150000000001</v>
      </c>
      <c r="L30" s="24"/>
      <c r="M30" s="24"/>
      <c r="N30" s="24"/>
      <c r="O30" s="24"/>
      <c r="P30" s="181">
        <f t="shared" si="8"/>
        <v>0.65840750000000003</v>
      </c>
      <c r="Q30" s="24">
        <f t="shared" si="9"/>
        <v>5.2672600000000007E-2</v>
      </c>
      <c r="R30" s="24"/>
      <c r="S30" s="24"/>
      <c r="T30" s="24"/>
      <c r="U30" s="24"/>
      <c r="V30" s="24"/>
      <c r="W30" s="24"/>
      <c r="X30" s="24">
        <v>1.5668150000000001</v>
      </c>
      <c r="Y30" s="24"/>
      <c r="Z30" s="24"/>
      <c r="AA30" s="24">
        <v>0</v>
      </c>
      <c r="AB30" s="24">
        <v>0</v>
      </c>
      <c r="AC30" s="181">
        <f t="shared" si="10"/>
        <v>0.78340750000000003</v>
      </c>
      <c r="AD30" s="24">
        <f t="shared" si="11"/>
        <v>6.2672600000000009E-2</v>
      </c>
    </row>
    <row r="31" spans="3:32" x14ac:dyDescent="0.2">
      <c r="C31" s="168">
        <v>8</v>
      </c>
      <c r="D31" s="17" t="s">
        <v>7</v>
      </c>
      <c r="E31" s="24">
        <v>2491.6937710000002</v>
      </c>
      <c r="F31" s="24"/>
      <c r="G31" s="24"/>
      <c r="H31" s="24"/>
      <c r="I31" s="24"/>
      <c r="J31" s="24"/>
      <c r="K31" s="24">
        <v>38314.9957775</v>
      </c>
      <c r="L31" s="24">
        <v>27848.349251500011</v>
      </c>
      <c r="M31" s="24"/>
      <c r="N31" s="24"/>
      <c r="O31" s="24"/>
      <c r="P31" s="181">
        <f t="shared" si="8"/>
        <v>40043.759827375005</v>
      </c>
      <c r="Q31" s="24">
        <f t="shared" si="9"/>
        <v>3203.5007861900003</v>
      </c>
      <c r="R31" s="24">
        <v>3307.5195428000002</v>
      </c>
      <c r="S31" s="24"/>
      <c r="T31" s="24"/>
      <c r="U31" s="24"/>
      <c r="V31" s="24"/>
      <c r="W31" s="24"/>
      <c r="X31" s="24">
        <v>48397.038062500003</v>
      </c>
      <c r="Y31" s="24">
        <v>50427.635545899997</v>
      </c>
      <c r="Z31" s="24"/>
      <c r="AA31" s="24">
        <v>0</v>
      </c>
      <c r="AB31" s="24">
        <v>0</v>
      </c>
      <c r="AC31" s="181">
        <f t="shared" si="10"/>
        <v>62019.245690675001</v>
      </c>
      <c r="AD31" s="24">
        <f t="shared" si="11"/>
        <v>4961.5396552540005</v>
      </c>
    </row>
    <row r="32" spans="3:32" x14ac:dyDescent="0.2">
      <c r="C32" s="168">
        <v>9</v>
      </c>
      <c r="D32" s="17" t="s">
        <v>8</v>
      </c>
      <c r="E32" s="24">
        <v>8470.8203830000002</v>
      </c>
      <c r="F32" s="24"/>
      <c r="G32" s="24"/>
      <c r="H32" s="24"/>
      <c r="I32" s="24"/>
      <c r="J32" s="24"/>
      <c r="K32" s="24">
        <v>76270.613150000005</v>
      </c>
      <c r="L32" s="24"/>
      <c r="M32" s="24">
        <v>435659.6141772088</v>
      </c>
      <c r="N32" s="24"/>
      <c r="O32" s="24"/>
      <c r="P32" s="181">
        <f t="shared" si="8"/>
        <v>473794.9207522088</v>
      </c>
      <c r="Q32" s="24">
        <f t="shared" si="9"/>
        <v>37903.593660176703</v>
      </c>
      <c r="R32" s="24">
        <v>38228.087794999999</v>
      </c>
      <c r="S32" s="24"/>
      <c r="T32" s="24"/>
      <c r="U32" s="24"/>
      <c r="V32" s="24"/>
      <c r="W32" s="24"/>
      <c r="X32" s="24"/>
      <c r="Y32" s="24"/>
      <c r="Z32" s="24">
        <v>266498.76431090001</v>
      </c>
      <c r="AA32" s="24">
        <v>0</v>
      </c>
      <c r="AB32" s="24">
        <v>0</v>
      </c>
      <c r="AC32" s="181">
        <f t="shared" si="10"/>
        <v>266498.76431090001</v>
      </c>
      <c r="AD32" s="24">
        <f t="shared" si="11"/>
        <v>21319.901144872001</v>
      </c>
    </row>
    <row r="33" spans="3:30" x14ac:dyDescent="0.2">
      <c r="C33" s="168">
        <v>10</v>
      </c>
      <c r="D33" s="17" t="s">
        <v>9</v>
      </c>
      <c r="E33" s="24"/>
      <c r="F33" s="24"/>
      <c r="G33" s="24"/>
      <c r="H33" s="24"/>
      <c r="I33" s="24"/>
      <c r="J33" s="24"/>
      <c r="K33" s="24"/>
      <c r="L33" s="24"/>
      <c r="M33" s="24"/>
      <c r="N33" s="24">
        <v>9034.4078355000001</v>
      </c>
      <c r="O33" s="24"/>
      <c r="P33" s="181">
        <f t="shared" si="8"/>
        <v>13551.611753249999</v>
      </c>
      <c r="Q33" s="24">
        <f t="shared" si="9"/>
        <v>1084.12894026</v>
      </c>
      <c r="R33" s="24"/>
      <c r="S33" s="24"/>
      <c r="T33" s="24"/>
      <c r="U33" s="24"/>
      <c r="V33" s="24"/>
      <c r="W33" s="24"/>
      <c r="X33" s="24"/>
      <c r="Y33" s="24"/>
      <c r="Z33" s="24"/>
      <c r="AA33" s="24">
        <v>6166.3659109999999</v>
      </c>
      <c r="AB33" s="24">
        <v>0</v>
      </c>
      <c r="AC33" s="181">
        <f>($R$7*R33)+($S$7*S33)+($T$7*T33)+($U$7*U33)+($V$7*V33)+($W$7*W33)+($X$7*X33)+($Y$7*Y33)+($Z$7*Z33)+($AA$7*AA33)</f>
        <v>9249.5488664999993</v>
      </c>
      <c r="AD33" s="24">
        <f t="shared" si="11"/>
        <v>739.96390931999997</v>
      </c>
    </row>
    <row r="34" spans="3:30" s="9" customFormat="1" x14ac:dyDescent="0.2">
      <c r="C34" s="10"/>
      <c r="D34" s="18" t="s">
        <v>51</v>
      </c>
      <c r="E34" s="26">
        <f>SUM(E24:E33)</f>
        <v>11158.962111100001</v>
      </c>
      <c r="F34" s="26">
        <f t="shared" ref="F34:O34" si="12">SUM(F24:F33)</f>
        <v>89.357516799999999</v>
      </c>
      <c r="G34" s="26"/>
      <c r="H34" s="26">
        <f t="shared" si="12"/>
        <v>28.4766975</v>
      </c>
      <c r="I34" s="26">
        <f t="shared" si="12"/>
        <v>0</v>
      </c>
      <c r="J34" s="26">
        <f t="shared" si="12"/>
        <v>0</v>
      </c>
      <c r="K34" s="26">
        <f t="shared" si="12"/>
        <v>119163.30540149999</v>
      </c>
      <c r="L34" s="26">
        <f t="shared" si="12"/>
        <v>27848.349251500011</v>
      </c>
      <c r="M34" s="26">
        <f t="shared" si="12"/>
        <v>437087.6417582088</v>
      </c>
      <c r="N34" s="26">
        <f t="shared" si="12"/>
        <v>9034.4078355000001</v>
      </c>
      <c r="O34" s="26">
        <f t="shared" si="12"/>
        <v>0</v>
      </c>
      <c r="P34" s="26">
        <f>SUM(P24:P33)</f>
        <v>531135.00649831875</v>
      </c>
      <c r="Q34" s="26">
        <f t="shared" ref="Q34" si="13">SUM(Q24:Q33)</f>
        <v>42490.800519865501</v>
      </c>
      <c r="R34" s="26">
        <v>97409.876328300001</v>
      </c>
      <c r="S34" s="26">
        <v>4166.1134934000002</v>
      </c>
      <c r="T34" s="26"/>
      <c r="U34" s="26">
        <v>28.866493999999999</v>
      </c>
      <c r="V34" s="26">
        <v>0</v>
      </c>
      <c r="W34" s="26">
        <v>0</v>
      </c>
      <c r="X34" s="26">
        <v>128419.26209199999</v>
      </c>
      <c r="Y34" s="26">
        <v>50427.635545899997</v>
      </c>
      <c r="Z34" s="26">
        <v>266498.76431090001</v>
      </c>
      <c r="AA34" s="26">
        <v>6166.3659109999999</v>
      </c>
      <c r="AB34" s="26">
        <v>0</v>
      </c>
      <c r="AC34" s="26">
        <f>SUM(AC24:AC33)</f>
        <v>378621.99685440498</v>
      </c>
      <c r="AD34" s="26">
        <f t="shared" ref="AD34" si="14">SUM(AD24:AD33)</f>
        <v>30289.7597483524</v>
      </c>
    </row>
    <row r="35" spans="3:30" x14ac:dyDescent="0.2">
      <c r="C35" s="168"/>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
      <c r="C37" s="168">
        <v>1</v>
      </c>
      <c r="D37" s="17" t="s">
        <v>0</v>
      </c>
      <c r="E37" s="24">
        <v>478576.9</v>
      </c>
      <c r="F37" s="24"/>
      <c r="G37" s="24"/>
      <c r="H37" s="24"/>
      <c r="I37" s="24"/>
      <c r="J37" s="24"/>
      <c r="K37" s="24"/>
      <c r="L37" s="24"/>
      <c r="M37" s="24"/>
      <c r="N37" s="24"/>
      <c r="O37" s="24"/>
      <c r="P37" s="24">
        <f t="shared" ref="P37:P43" si="15">($R$7*E37)+($S$7*F37)+($U$7*H37)+($V$7*I37)+($W$7*J37)+($X$7*K37)+($Y$7*L37)+($Z$7*M37)+($AA$7*N37)</f>
        <v>0</v>
      </c>
      <c r="Q37" s="24">
        <f t="shared" ref="Q37:Q43" si="16">P37*$AD$4</f>
        <v>0</v>
      </c>
      <c r="R37" s="24">
        <v>290969.09999999998</v>
      </c>
      <c r="S37" s="24"/>
      <c r="T37" s="24"/>
      <c r="U37" s="24"/>
      <c r="V37" s="24"/>
      <c r="W37" s="24"/>
      <c r="X37" s="24"/>
      <c r="Y37" s="24"/>
      <c r="Z37" s="24"/>
      <c r="AA37" s="24"/>
      <c r="AB37" s="24"/>
      <c r="AC37" s="24">
        <f t="shared" ref="AC37:AC43" si="17">($R$7*R37)+($S$7*S37)+($U$7*U37)+($V$7*V37)+($W$7*W37)+($X$7*X37)+($Y$7*Y37)+($Z$7*Z37)+($AA$7*AA37)</f>
        <v>0</v>
      </c>
      <c r="AD37" s="24">
        <f t="shared" ref="AD37:AD43" si="18">AC37*$AD$4</f>
        <v>0</v>
      </c>
    </row>
    <row r="38" spans="3:30" x14ac:dyDescent="0.2">
      <c r="C38" s="168">
        <v>2</v>
      </c>
      <c r="D38" s="17" t="s">
        <v>1</v>
      </c>
      <c r="E38" s="24"/>
      <c r="F38" s="24"/>
      <c r="G38" s="24"/>
      <c r="H38" s="24"/>
      <c r="I38" s="24"/>
      <c r="J38" s="24"/>
      <c r="K38" s="24"/>
      <c r="L38" s="24"/>
      <c r="M38" s="24"/>
      <c r="N38" s="24"/>
      <c r="O38" s="24"/>
      <c r="P38" s="24">
        <f t="shared" si="15"/>
        <v>0</v>
      </c>
      <c r="Q38" s="24">
        <f t="shared" si="16"/>
        <v>0</v>
      </c>
      <c r="R38" s="24"/>
      <c r="S38" s="24"/>
      <c r="T38" s="24"/>
      <c r="U38" s="24"/>
      <c r="V38" s="24"/>
      <c r="W38" s="24"/>
      <c r="X38" s="24"/>
      <c r="Y38" s="24"/>
      <c r="Z38" s="24"/>
      <c r="AA38" s="24"/>
      <c r="AB38" s="24"/>
      <c r="AC38" s="24">
        <f t="shared" si="17"/>
        <v>0</v>
      </c>
      <c r="AD38" s="24">
        <f t="shared" si="18"/>
        <v>0</v>
      </c>
    </row>
    <row r="39" spans="3:30" x14ac:dyDescent="0.2">
      <c r="C39" s="168">
        <v>3</v>
      </c>
      <c r="D39" s="17" t="s">
        <v>2</v>
      </c>
      <c r="E39" s="24"/>
      <c r="F39" s="24"/>
      <c r="G39" s="24"/>
      <c r="H39" s="24"/>
      <c r="I39" s="24"/>
      <c r="J39" s="24"/>
      <c r="K39" s="24"/>
      <c r="L39" s="24"/>
      <c r="M39" s="24"/>
      <c r="N39" s="24"/>
      <c r="O39" s="24"/>
      <c r="P39" s="24">
        <f t="shared" si="15"/>
        <v>0</v>
      </c>
      <c r="Q39" s="24">
        <f t="shared" si="16"/>
        <v>0</v>
      </c>
      <c r="R39" s="24"/>
      <c r="S39" s="24"/>
      <c r="T39" s="24"/>
      <c r="U39" s="24"/>
      <c r="V39" s="24"/>
      <c r="W39" s="24"/>
      <c r="X39" s="24"/>
      <c r="Y39" s="24"/>
      <c r="Z39" s="24"/>
      <c r="AA39" s="24"/>
      <c r="AB39" s="24"/>
      <c r="AC39" s="24">
        <f t="shared" si="17"/>
        <v>0</v>
      </c>
      <c r="AD39" s="24">
        <f t="shared" si="18"/>
        <v>0</v>
      </c>
    </row>
    <row r="40" spans="3:30" x14ac:dyDescent="0.2">
      <c r="C40" s="168">
        <v>4</v>
      </c>
      <c r="D40" s="17" t="s">
        <v>3</v>
      </c>
      <c r="E40" s="24"/>
      <c r="F40" s="24"/>
      <c r="G40" s="24"/>
      <c r="H40" s="24"/>
      <c r="I40" s="24"/>
      <c r="J40" s="24"/>
      <c r="K40" s="24"/>
      <c r="L40" s="24"/>
      <c r="M40" s="24"/>
      <c r="N40" s="24"/>
      <c r="O40" s="24"/>
      <c r="P40" s="24">
        <f t="shared" si="15"/>
        <v>0</v>
      </c>
      <c r="Q40" s="24">
        <f t="shared" si="16"/>
        <v>0</v>
      </c>
      <c r="R40" s="24"/>
      <c r="S40" s="24"/>
      <c r="T40" s="24"/>
      <c r="U40" s="24"/>
      <c r="V40" s="24"/>
      <c r="W40" s="24"/>
      <c r="X40" s="24"/>
      <c r="Y40" s="24"/>
      <c r="Z40" s="24"/>
      <c r="AA40" s="24"/>
      <c r="AB40" s="24"/>
      <c r="AC40" s="24">
        <f t="shared" si="17"/>
        <v>0</v>
      </c>
      <c r="AD40" s="24">
        <f t="shared" si="18"/>
        <v>0</v>
      </c>
    </row>
    <row r="41" spans="3:30" x14ac:dyDescent="0.2">
      <c r="C41" s="168">
        <v>8</v>
      </c>
      <c r="D41" s="17" t="s">
        <v>7</v>
      </c>
      <c r="E41" s="24"/>
      <c r="F41" s="24"/>
      <c r="G41" s="24"/>
      <c r="H41" s="24"/>
      <c r="I41" s="24"/>
      <c r="J41" s="24"/>
      <c r="K41" s="24"/>
      <c r="L41" s="24"/>
      <c r="M41" s="24"/>
      <c r="N41" s="24"/>
      <c r="O41" s="24"/>
      <c r="P41" s="24">
        <f t="shared" si="15"/>
        <v>0</v>
      </c>
      <c r="Q41" s="24">
        <f t="shared" si="16"/>
        <v>0</v>
      </c>
      <c r="R41" s="24"/>
      <c r="S41" s="24"/>
      <c r="T41" s="24"/>
      <c r="U41" s="24"/>
      <c r="V41" s="24"/>
      <c r="W41" s="24"/>
      <c r="X41" s="24"/>
      <c r="Y41" s="24"/>
      <c r="Z41" s="24"/>
      <c r="AA41" s="24"/>
      <c r="AB41" s="24"/>
      <c r="AC41" s="24">
        <f t="shared" si="17"/>
        <v>0</v>
      </c>
      <c r="AD41" s="24">
        <f t="shared" si="18"/>
        <v>0</v>
      </c>
    </row>
    <row r="42" spans="3:30" x14ac:dyDescent="0.2">
      <c r="C42" s="168">
        <v>9</v>
      </c>
      <c r="D42" s="17" t="s">
        <v>8</v>
      </c>
      <c r="E42" s="24"/>
      <c r="F42" s="24"/>
      <c r="G42" s="24"/>
      <c r="H42" s="24"/>
      <c r="I42" s="24"/>
      <c r="J42" s="24"/>
      <c r="K42" s="24"/>
      <c r="L42" s="24"/>
      <c r="M42" s="24"/>
      <c r="N42" s="24"/>
      <c r="O42" s="24"/>
      <c r="P42" s="24">
        <f t="shared" si="15"/>
        <v>0</v>
      </c>
      <c r="Q42" s="24">
        <f t="shared" si="16"/>
        <v>0</v>
      </c>
      <c r="R42" s="24"/>
      <c r="S42" s="24"/>
      <c r="T42" s="24"/>
      <c r="U42" s="24"/>
      <c r="V42" s="24"/>
      <c r="W42" s="24"/>
      <c r="X42" s="24"/>
      <c r="Y42" s="24"/>
      <c r="Z42" s="24"/>
      <c r="AA42" s="24"/>
      <c r="AB42" s="24"/>
      <c r="AC42" s="24">
        <f t="shared" si="17"/>
        <v>0</v>
      </c>
      <c r="AD42" s="24">
        <f t="shared" si="18"/>
        <v>0</v>
      </c>
    </row>
    <row r="43" spans="3:30" x14ac:dyDescent="0.2">
      <c r="C43" s="168">
        <v>10</v>
      </c>
      <c r="D43" s="17" t="s">
        <v>9</v>
      </c>
      <c r="E43" s="24"/>
      <c r="F43" s="24"/>
      <c r="G43" s="24"/>
      <c r="H43" s="24"/>
      <c r="I43" s="24"/>
      <c r="J43" s="24"/>
      <c r="K43" s="24"/>
      <c r="L43" s="24"/>
      <c r="M43" s="24"/>
      <c r="N43" s="24"/>
      <c r="O43" s="24"/>
      <c r="P43" s="24">
        <f t="shared" si="15"/>
        <v>0</v>
      </c>
      <c r="Q43" s="24">
        <f t="shared" si="16"/>
        <v>0</v>
      </c>
      <c r="R43" s="24"/>
      <c r="S43" s="24"/>
      <c r="T43" s="24"/>
      <c r="U43" s="24"/>
      <c r="V43" s="24"/>
      <c r="W43" s="24"/>
      <c r="X43" s="24"/>
      <c r="Y43" s="24"/>
      <c r="Z43" s="24"/>
      <c r="AA43" s="24"/>
      <c r="AB43" s="24"/>
      <c r="AC43" s="24">
        <f t="shared" si="17"/>
        <v>0</v>
      </c>
      <c r="AD43" s="24">
        <f t="shared" si="18"/>
        <v>0</v>
      </c>
    </row>
    <row r="44" spans="3:30" s="9" customFormat="1" x14ac:dyDescent="0.2">
      <c r="C44" s="10"/>
      <c r="D44" s="18" t="s">
        <v>56</v>
      </c>
      <c r="E44" s="26">
        <f t="shared" ref="E44:O44" si="19">SUM(E37:E43)</f>
        <v>478576.9</v>
      </c>
      <c r="F44" s="26">
        <f t="shared" si="19"/>
        <v>0</v>
      </c>
      <c r="G44" s="26"/>
      <c r="H44" s="26">
        <f t="shared" si="19"/>
        <v>0</v>
      </c>
      <c r="I44" s="26">
        <f t="shared" si="19"/>
        <v>0</v>
      </c>
      <c r="J44" s="26">
        <f t="shared" si="19"/>
        <v>0</v>
      </c>
      <c r="K44" s="26">
        <f t="shared" si="19"/>
        <v>0</v>
      </c>
      <c r="L44" s="26">
        <f t="shared" si="19"/>
        <v>0</v>
      </c>
      <c r="M44" s="26">
        <f t="shared" si="19"/>
        <v>0</v>
      </c>
      <c r="N44" s="26">
        <f t="shared" si="19"/>
        <v>0</v>
      </c>
      <c r="O44" s="26">
        <f t="shared" si="19"/>
        <v>0</v>
      </c>
      <c r="P44" s="26">
        <f>SUM(P37:P43)</f>
        <v>0</v>
      </c>
      <c r="Q44" s="26">
        <f t="shared" ref="Q44" si="20">SUM(Q37:Q43)</f>
        <v>0</v>
      </c>
      <c r="R44" s="26">
        <f>SUM(R37:R43)</f>
        <v>290969.09999999998</v>
      </c>
      <c r="S44" s="26">
        <f t="shared" ref="S44:AD44" si="21">SUM(S37:S43)</f>
        <v>0</v>
      </c>
      <c r="T44" s="26"/>
      <c r="U44" s="26">
        <f t="shared" si="21"/>
        <v>0</v>
      </c>
      <c r="V44" s="26">
        <f t="shared" si="21"/>
        <v>0</v>
      </c>
      <c r="W44" s="26">
        <f t="shared" si="21"/>
        <v>0</v>
      </c>
      <c r="X44" s="26">
        <f t="shared" si="21"/>
        <v>0</v>
      </c>
      <c r="Y44" s="26">
        <f t="shared" si="21"/>
        <v>0</v>
      </c>
      <c r="Z44" s="26">
        <f t="shared" si="21"/>
        <v>0</v>
      </c>
      <c r="AA44" s="26">
        <f t="shared" si="21"/>
        <v>0</v>
      </c>
      <c r="AB44" s="26">
        <f t="shared" si="21"/>
        <v>0</v>
      </c>
      <c r="AC44" s="26">
        <f t="shared" si="21"/>
        <v>0</v>
      </c>
      <c r="AD44" s="26">
        <f t="shared" si="21"/>
        <v>0</v>
      </c>
    </row>
    <row r="47" spans="3:30" x14ac:dyDescent="0.2">
      <c r="C47" s="3" t="s">
        <v>22</v>
      </c>
      <c r="D47" s="6" t="s">
        <v>125</v>
      </c>
    </row>
    <row r="48" spans="3:30" x14ac:dyDescent="0.2">
      <c r="D48" s="8" t="s">
        <v>76</v>
      </c>
    </row>
  </sheetData>
  <mergeCells count="10">
    <mergeCell ref="AC5:AC7"/>
    <mergeCell ref="AD5:AD7"/>
    <mergeCell ref="E6:O6"/>
    <mergeCell ref="R6:AB6"/>
    <mergeCell ref="C5:C7"/>
    <mergeCell ref="D5:D7"/>
    <mergeCell ref="E5:O5"/>
    <mergeCell ref="P5:P7"/>
    <mergeCell ref="Q5:Q7"/>
    <mergeCell ref="R5:AB5"/>
  </mergeCells>
  <pageMargins left="0.12" right="0.79" top="0.67" bottom="0.75" header="0.3" footer="0.3"/>
  <pageSetup paperSize="5" scale="60" orientation="landscape" horizontalDpi="4294967293" verticalDpi="4294967293"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opLeftCell="A19" workbookViewId="0">
      <selection activeCell="I43" sqref="I43"/>
    </sheetView>
  </sheetViews>
  <sheetFormatPr defaultColWidth="8.7109375" defaultRowHeight="11.25" x14ac:dyDescent="0.2"/>
  <cols>
    <col min="1" max="1" width="3.85546875" style="6" customWidth="1"/>
    <col min="2" max="2" width="3.140625" style="22" bestFit="1" customWidth="1"/>
    <col min="3" max="3" width="46.5703125" style="6" bestFit="1" customWidth="1"/>
    <col min="4" max="8" width="10.28515625" style="6" customWidth="1"/>
    <col min="9" max="9" width="17.140625" style="6" bestFit="1" customWidth="1"/>
    <col min="10" max="16384" width="8.7109375" style="6"/>
  </cols>
  <sheetData>
    <row r="1" spans="1:9" x14ac:dyDescent="0.2">
      <c r="A1" s="6" t="s">
        <v>126</v>
      </c>
      <c r="B1" s="100" t="s">
        <v>127</v>
      </c>
    </row>
    <row r="2" spans="1:9" x14ac:dyDescent="0.2">
      <c r="B2" s="3" t="s">
        <v>17</v>
      </c>
      <c r="C2" s="6" t="s">
        <v>16</v>
      </c>
    </row>
    <row r="3" spans="1:9" ht="12" thickBot="1" x14ac:dyDescent="0.25">
      <c r="B3" s="284" t="s">
        <v>57</v>
      </c>
      <c r="C3" s="284"/>
      <c r="D3" s="284"/>
      <c r="E3" s="284"/>
      <c r="F3" s="284"/>
      <c r="G3" s="284"/>
      <c r="H3" s="284"/>
      <c r="I3" s="284"/>
    </row>
    <row r="4" spans="1:9" ht="12" thickBot="1" x14ac:dyDescent="0.25">
      <c r="B4" s="285" t="s">
        <v>18</v>
      </c>
      <c r="C4" s="288" t="s">
        <v>19</v>
      </c>
      <c r="D4" s="291" t="s">
        <v>23</v>
      </c>
      <c r="E4" s="292"/>
      <c r="F4" s="292"/>
      <c r="G4" s="292"/>
      <c r="H4" s="292"/>
      <c r="I4" s="293"/>
    </row>
    <row r="5" spans="1:9" ht="11.1" customHeight="1" thickBot="1" x14ac:dyDescent="0.25">
      <c r="B5" s="286"/>
      <c r="C5" s="289"/>
      <c r="D5" s="294" t="s">
        <v>59</v>
      </c>
      <c r="E5" s="292" t="s">
        <v>60</v>
      </c>
      <c r="F5" s="292"/>
      <c r="G5" s="292"/>
      <c r="H5" s="293"/>
      <c r="I5" s="294" t="s">
        <v>61</v>
      </c>
    </row>
    <row r="6" spans="1:9" ht="12" thickBot="1" x14ac:dyDescent="0.25">
      <c r="B6" s="287"/>
      <c r="C6" s="290"/>
      <c r="D6" s="295"/>
      <c r="E6" s="28" t="s">
        <v>63</v>
      </c>
      <c r="F6" s="28" t="s">
        <v>64</v>
      </c>
      <c r="G6" s="28" t="s">
        <v>65</v>
      </c>
      <c r="H6" s="28" t="s">
        <v>25</v>
      </c>
      <c r="I6" s="295"/>
    </row>
    <row r="7" spans="1:9" s="43" customFormat="1" ht="10.5" customHeight="1" thickBot="1" x14ac:dyDescent="0.3">
      <c r="B7" s="41" t="s">
        <v>17</v>
      </c>
      <c r="C7" s="41" t="s">
        <v>22</v>
      </c>
      <c r="D7" s="41" t="s">
        <v>28</v>
      </c>
      <c r="E7" s="41" t="s">
        <v>29</v>
      </c>
      <c r="F7" s="41" t="s">
        <v>30</v>
      </c>
      <c r="G7" s="41" t="s">
        <v>31</v>
      </c>
      <c r="H7" s="41" t="s">
        <v>32</v>
      </c>
      <c r="I7" s="42" t="s">
        <v>66</v>
      </c>
    </row>
    <row r="8" spans="1:9" x14ac:dyDescent="0.2">
      <c r="B8" s="29" t="s">
        <v>20</v>
      </c>
      <c r="C8" s="30" t="s">
        <v>21</v>
      </c>
      <c r="D8" s="31"/>
      <c r="E8" s="31"/>
      <c r="F8" s="31"/>
      <c r="G8" s="31"/>
      <c r="H8" s="31"/>
      <c r="I8" s="31"/>
    </row>
    <row r="9" spans="1:9" x14ac:dyDescent="0.2">
      <c r="B9" s="33">
        <v>1</v>
      </c>
      <c r="C9" s="34" t="s">
        <v>0</v>
      </c>
      <c r="D9" s="44">
        <v>5809214.2776210001</v>
      </c>
      <c r="E9" s="44">
        <v>0</v>
      </c>
      <c r="F9" s="44">
        <v>0</v>
      </c>
      <c r="G9" s="44">
        <v>0</v>
      </c>
      <c r="H9" s="44">
        <v>0</v>
      </c>
      <c r="I9" s="44">
        <f>D9-E9-F9-G9-H9</f>
        <v>5809214.2776210001</v>
      </c>
    </row>
    <row r="10" spans="1:9" x14ac:dyDescent="0.2">
      <c r="B10" s="33">
        <v>2</v>
      </c>
      <c r="C10" s="34" t="s">
        <v>1</v>
      </c>
      <c r="D10" s="44">
        <v>135727.624652</v>
      </c>
      <c r="E10" s="44">
        <v>0</v>
      </c>
      <c r="F10" s="44">
        <v>89513.651018999997</v>
      </c>
      <c r="G10" s="44">
        <v>0</v>
      </c>
      <c r="H10" s="44">
        <v>0</v>
      </c>
      <c r="I10" s="44">
        <f t="shared" ref="I10:I19" si="0">D10-E10-F10-G10-H10</f>
        <v>46213.973633000001</v>
      </c>
    </row>
    <row r="11" spans="1:9" x14ac:dyDescent="0.2">
      <c r="B11" s="33">
        <v>3</v>
      </c>
      <c r="C11" s="34" t="s">
        <v>2</v>
      </c>
      <c r="D11" s="44">
        <v>0</v>
      </c>
      <c r="E11" s="44">
        <v>0</v>
      </c>
      <c r="F11" s="44">
        <v>0</v>
      </c>
      <c r="G11" s="44">
        <v>0</v>
      </c>
      <c r="H11" s="44">
        <v>0</v>
      </c>
      <c r="I11" s="44">
        <f t="shared" si="0"/>
        <v>0</v>
      </c>
    </row>
    <row r="12" spans="1:9" x14ac:dyDescent="0.2">
      <c r="B12" s="33">
        <v>4</v>
      </c>
      <c r="C12" s="34" t="s">
        <v>68</v>
      </c>
      <c r="D12" s="44">
        <v>1427118.2056979998</v>
      </c>
      <c r="E12" s="44">
        <v>0</v>
      </c>
      <c r="F12" s="44">
        <v>0</v>
      </c>
      <c r="G12" s="44">
        <v>0</v>
      </c>
      <c r="H12" s="44">
        <v>0</v>
      </c>
      <c r="I12" s="44">
        <f t="shared" si="0"/>
        <v>1427118.2056979998</v>
      </c>
    </row>
    <row r="13" spans="1:9" x14ac:dyDescent="0.2">
      <c r="B13" s="33">
        <v>5</v>
      </c>
      <c r="C13" s="34" t="s">
        <v>4</v>
      </c>
      <c r="D13" s="44">
        <v>238204.590127</v>
      </c>
      <c r="E13" s="44">
        <v>0</v>
      </c>
      <c r="F13" s="44">
        <v>0</v>
      </c>
      <c r="G13" s="44">
        <v>0</v>
      </c>
      <c r="H13" s="44">
        <v>0</v>
      </c>
      <c r="I13" s="44">
        <f t="shared" si="0"/>
        <v>238204.590127</v>
      </c>
    </row>
    <row r="14" spans="1:9" x14ac:dyDescent="0.2">
      <c r="B14" s="33">
        <v>6</v>
      </c>
      <c r="C14" s="34" t="s">
        <v>5</v>
      </c>
      <c r="D14" s="44">
        <v>8322.4039190000003</v>
      </c>
      <c r="E14" s="44">
        <v>0</v>
      </c>
      <c r="F14" s="44">
        <v>0</v>
      </c>
      <c r="G14" s="44">
        <v>0</v>
      </c>
      <c r="H14" s="44">
        <v>0</v>
      </c>
      <c r="I14" s="44">
        <f t="shared" si="0"/>
        <v>8322.4039190000003</v>
      </c>
    </row>
    <row r="15" spans="1:9" x14ac:dyDescent="0.2">
      <c r="B15" s="33">
        <v>7</v>
      </c>
      <c r="C15" s="34" t="s">
        <v>69</v>
      </c>
      <c r="D15" s="44">
        <v>9604132.9476229995</v>
      </c>
      <c r="E15" s="44">
        <v>735.02807199999995</v>
      </c>
      <c r="F15" s="44">
        <v>0</v>
      </c>
      <c r="G15" s="44">
        <v>0</v>
      </c>
      <c r="H15" s="44">
        <v>0</v>
      </c>
      <c r="I15" s="44">
        <f t="shared" si="0"/>
        <v>9603397.919551</v>
      </c>
    </row>
    <row r="16" spans="1:9" x14ac:dyDescent="0.2">
      <c r="B16" s="33">
        <v>8</v>
      </c>
      <c r="C16" s="34" t="s">
        <v>70</v>
      </c>
      <c r="D16" s="44">
        <v>918566.37153200002</v>
      </c>
      <c r="E16" s="44">
        <v>6722.0719410000002</v>
      </c>
      <c r="F16" s="44">
        <v>0</v>
      </c>
      <c r="G16" s="44">
        <v>83806.359681999995</v>
      </c>
      <c r="H16" s="44">
        <v>0</v>
      </c>
      <c r="I16" s="44">
        <f t="shared" si="0"/>
        <v>828037.93990900007</v>
      </c>
    </row>
    <row r="17" spans="2:9" x14ac:dyDescent="0.2">
      <c r="B17" s="33">
        <v>9</v>
      </c>
      <c r="C17" s="34" t="s">
        <v>8</v>
      </c>
      <c r="D17" s="44">
        <v>1496523.029197</v>
      </c>
      <c r="E17" s="44">
        <v>51219.414532000003</v>
      </c>
      <c r="F17" s="44">
        <v>0</v>
      </c>
      <c r="G17" s="44">
        <v>750.01424999999995</v>
      </c>
      <c r="H17" s="44">
        <v>0</v>
      </c>
      <c r="I17" s="44">
        <f t="shared" si="0"/>
        <v>1444553.600415</v>
      </c>
    </row>
    <row r="18" spans="2:9" x14ac:dyDescent="0.2">
      <c r="B18" s="33">
        <v>10</v>
      </c>
      <c r="C18" s="34" t="s">
        <v>9</v>
      </c>
      <c r="D18" s="44">
        <v>430274.64038599998</v>
      </c>
      <c r="E18" s="44">
        <v>0</v>
      </c>
      <c r="F18" s="44">
        <v>0</v>
      </c>
      <c r="G18" s="44">
        <v>2870.0149489999999</v>
      </c>
      <c r="H18" s="44">
        <v>0</v>
      </c>
      <c r="I18" s="44">
        <f t="shared" si="0"/>
        <v>427404.62543700001</v>
      </c>
    </row>
    <row r="19" spans="2:9" x14ac:dyDescent="0.2">
      <c r="B19" s="33">
        <v>11</v>
      </c>
      <c r="C19" s="34" t="s">
        <v>10</v>
      </c>
      <c r="D19" s="44">
        <v>2250421.8545230003</v>
      </c>
      <c r="E19" s="44">
        <v>0</v>
      </c>
      <c r="F19" s="44">
        <v>0</v>
      </c>
      <c r="G19" s="44">
        <v>0</v>
      </c>
      <c r="H19" s="44">
        <v>0</v>
      </c>
      <c r="I19" s="44">
        <f t="shared" si="0"/>
        <v>2250421.8545230003</v>
      </c>
    </row>
    <row r="20" spans="2:9" s="9" customFormat="1" x14ac:dyDescent="0.2">
      <c r="B20" s="36"/>
      <c r="C20" s="35" t="s">
        <v>51</v>
      </c>
      <c r="D20" s="45">
        <f>SUM(D9:D19)</f>
        <v>22318505.945278</v>
      </c>
      <c r="E20" s="45">
        <f t="shared" ref="E20:I20" si="1">SUM(E9:E19)</f>
        <v>58676.514545000005</v>
      </c>
      <c r="F20" s="45">
        <f t="shared" si="1"/>
        <v>89513.651018999997</v>
      </c>
      <c r="G20" s="45">
        <f t="shared" si="1"/>
        <v>87426.388880999992</v>
      </c>
      <c r="H20" s="45">
        <f t="shared" si="1"/>
        <v>0</v>
      </c>
      <c r="I20" s="45">
        <f t="shared" si="1"/>
        <v>22082889.390832998</v>
      </c>
    </row>
    <row r="21" spans="2:9" x14ac:dyDescent="0.2">
      <c r="B21" s="33"/>
      <c r="C21" s="34"/>
      <c r="D21" s="34"/>
      <c r="E21" s="34"/>
      <c r="F21" s="34"/>
      <c r="G21" s="34"/>
      <c r="H21" s="34"/>
      <c r="I21" s="34"/>
    </row>
    <row r="22" spans="2:9" x14ac:dyDescent="0.2">
      <c r="B22" s="36" t="s">
        <v>52</v>
      </c>
      <c r="C22" s="37" t="s">
        <v>71</v>
      </c>
      <c r="D22" s="34"/>
      <c r="E22" s="34"/>
      <c r="F22" s="34"/>
      <c r="G22" s="34"/>
      <c r="H22" s="34"/>
      <c r="I22" s="34"/>
    </row>
    <row r="23" spans="2:9" x14ac:dyDescent="0.2">
      <c r="B23" s="33">
        <v>1</v>
      </c>
      <c r="C23" s="34" t="s">
        <v>0</v>
      </c>
      <c r="D23" s="44">
        <v>2675</v>
      </c>
      <c r="E23" s="44">
        <v>0</v>
      </c>
      <c r="F23" s="44">
        <v>0</v>
      </c>
      <c r="G23" s="44">
        <v>0</v>
      </c>
      <c r="H23" s="44">
        <v>0</v>
      </c>
      <c r="I23" s="44">
        <f t="shared" ref="I23:I32" si="2">D23-E23-F23-G23-H23</f>
        <v>2675</v>
      </c>
    </row>
    <row r="24" spans="2:9" x14ac:dyDescent="0.2">
      <c r="B24" s="33">
        <v>2</v>
      </c>
      <c r="C24" s="34" t="s">
        <v>1</v>
      </c>
      <c r="D24" s="44">
        <v>269036.02745350002</v>
      </c>
      <c r="E24" s="44">
        <v>266372.6598885</v>
      </c>
      <c r="F24" s="44">
        <v>0</v>
      </c>
      <c r="G24" s="44">
        <v>1313.367565</v>
      </c>
      <c r="H24" s="44">
        <v>0</v>
      </c>
      <c r="I24" s="44">
        <f t="shared" si="2"/>
        <v>1350.0000000000223</v>
      </c>
    </row>
    <row r="25" spans="2:9" x14ac:dyDescent="0.2">
      <c r="B25" s="33">
        <v>3</v>
      </c>
      <c r="C25" s="34" t="s">
        <v>2</v>
      </c>
      <c r="D25" s="44">
        <v>0</v>
      </c>
      <c r="E25" s="44">
        <v>0</v>
      </c>
      <c r="F25" s="44">
        <v>0</v>
      </c>
      <c r="G25" s="44">
        <v>0</v>
      </c>
      <c r="H25" s="44">
        <v>0</v>
      </c>
      <c r="I25" s="44">
        <f t="shared" si="2"/>
        <v>0</v>
      </c>
    </row>
    <row r="26" spans="2:9" x14ac:dyDescent="0.2">
      <c r="B26" s="33">
        <v>4</v>
      </c>
      <c r="C26" s="34" t="s">
        <v>68</v>
      </c>
      <c r="D26" s="44">
        <v>31.533471800000001</v>
      </c>
      <c r="E26" s="44">
        <v>0</v>
      </c>
      <c r="F26" s="44">
        <v>0</v>
      </c>
      <c r="G26" s="44">
        <v>0</v>
      </c>
      <c r="H26" s="44">
        <v>0</v>
      </c>
      <c r="I26" s="44">
        <f t="shared" si="2"/>
        <v>31.533471800000001</v>
      </c>
    </row>
    <row r="27" spans="2:9" x14ac:dyDescent="0.2">
      <c r="B27" s="33">
        <v>5</v>
      </c>
      <c r="C27" s="34" t="s">
        <v>4</v>
      </c>
      <c r="D27" s="44">
        <v>28.360011</v>
      </c>
      <c r="E27" s="44">
        <v>0</v>
      </c>
      <c r="F27" s="44">
        <v>0</v>
      </c>
      <c r="G27" s="44">
        <v>0</v>
      </c>
      <c r="H27" s="44">
        <v>0</v>
      </c>
      <c r="I27" s="44">
        <f t="shared" si="2"/>
        <v>28.360011</v>
      </c>
    </row>
    <row r="28" spans="2:9" x14ac:dyDescent="0.2">
      <c r="B28" s="33">
        <v>6</v>
      </c>
      <c r="C28" s="34" t="s">
        <v>5</v>
      </c>
      <c r="D28" s="44">
        <v>129.82544179999999</v>
      </c>
      <c r="E28" s="44">
        <v>0</v>
      </c>
      <c r="F28" s="44">
        <v>0</v>
      </c>
      <c r="G28" s="44">
        <v>0</v>
      </c>
      <c r="H28" s="44">
        <v>0</v>
      </c>
      <c r="I28" s="44">
        <f t="shared" si="2"/>
        <v>129.82544179999999</v>
      </c>
    </row>
    <row r="29" spans="2:9" x14ac:dyDescent="0.2">
      <c r="B29" s="33">
        <v>7</v>
      </c>
      <c r="C29" s="34" t="s">
        <v>69</v>
      </c>
      <c r="D29" s="44">
        <v>100.42940900000001</v>
      </c>
      <c r="E29" s="44">
        <v>0</v>
      </c>
      <c r="F29" s="44">
        <v>0</v>
      </c>
      <c r="G29" s="44">
        <v>0</v>
      </c>
      <c r="H29" s="44">
        <v>0</v>
      </c>
      <c r="I29" s="44">
        <f t="shared" si="2"/>
        <v>100.42940900000001</v>
      </c>
    </row>
    <row r="30" spans="2:9" x14ac:dyDescent="0.2">
      <c r="B30" s="33">
        <v>8</v>
      </c>
      <c r="C30" s="34" t="s">
        <v>70</v>
      </c>
      <c r="D30" s="44">
        <v>111669.38948000001</v>
      </c>
      <c r="E30" s="44">
        <v>2938.5790228999999</v>
      </c>
      <c r="F30" s="44">
        <v>0</v>
      </c>
      <c r="G30" s="44">
        <v>58015.906586999998</v>
      </c>
      <c r="H30" s="44">
        <v>0</v>
      </c>
      <c r="I30" s="44">
        <f t="shared" si="2"/>
        <v>50714.903870100017</v>
      </c>
    </row>
    <row r="31" spans="2:9" x14ac:dyDescent="0.2">
      <c r="B31" s="33">
        <v>9</v>
      </c>
      <c r="C31" s="34" t="s">
        <v>8</v>
      </c>
      <c r="D31" s="44">
        <v>338093.33903759997</v>
      </c>
      <c r="E31" s="44">
        <v>4151.7487314999998</v>
      </c>
      <c r="F31" s="44">
        <v>0</v>
      </c>
      <c r="G31" s="44">
        <v>96352.874280999997</v>
      </c>
      <c r="H31" s="44">
        <v>0</v>
      </c>
      <c r="I31" s="44">
        <f t="shared" si="2"/>
        <v>237588.71602509997</v>
      </c>
    </row>
    <row r="32" spans="2:9" x14ac:dyDescent="0.2">
      <c r="B32" s="33">
        <v>10</v>
      </c>
      <c r="C32" s="34" t="s">
        <v>9</v>
      </c>
      <c r="D32" s="44">
        <v>36103.488407500001</v>
      </c>
      <c r="E32" s="44">
        <v>0</v>
      </c>
      <c r="F32" s="44">
        <v>0</v>
      </c>
      <c r="G32" s="44">
        <v>0</v>
      </c>
      <c r="H32" s="44">
        <v>0</v>
      </c>
      <c r="I32" s="44">
        <f t="shared" si="2"/>
        <v>36103.488407500001</v>
      </c>
    </row>
    <row r="33" spans="2:9" s="9" customFormat="1" x14ac:dyDescent="0.2">
      <c r="B33" s="36"/>
      <c r="C33" s="35" t="s">
        <v>72</v>
      </c>
      <c r="D33" s="45">
        <f>SUM(D23:D32)</f>
        <v>757867.39271219994</v>
      </c>
      <c r="E33" s="45">
        <f t="shared" ref="E33:I33" si="3">SUM(E23:E32)</f>
        <v>273462.98764290003</v>
      </c>
      <c r="F33" s="45">
        <f t="shared" si="3"/>
        <v>0</v>
      </c>
      <c r="G33" s="45">
        <f t="shared" si="3"/>
        <v>155682.14843299999</v>
      </c>
      <c r="H33" s="45">
        <f t="shared" si="3"/>
        <v>0</v>
      </c>
      <c r="I33" s="45">
        <f t="shared" si="3"/>
        <v>328722.25663630001</v>
      </c>
    </row>
    <row r="34" spans="2:9" x14ac:dyDescent="0.2">
      <c r="B34" s="33"/>
      <c r="C34" s="34"/>
      <c r="D34" s="34"/>
      <c r="E34" s="34"/>
      <c r="F34" s="34"/>
      <c r="G34" s="34"/>
      <c r="H34" s="34"/>
      <c r="I34" s="34"/>
    </row>
    <row r="35" spans="2:9" x14ac:dyDescent="0.2">
      <c r="B35" s="36" t="s">
        <v>54</v>
      </c>
      <c r="C35" s="37" t="s">
        <v>73</v>
      </c>
      <c r="D35" s="34"/>
      <c r="E35" s="34"/>
      <c r="F35" s="34"/>
      <c r="G35" s="34"/>
      <c r="H35" s="34"/>
      <c r="I35" s="34"/>
    </row>
    <row r="36" spans="2:9" x14ac:dyDescent="0.2">
      <c r="B36" s="33">
        <v>1</v>
      </c>
      <c r="C36" s="34" t="s">
        <v>0</v>
      </c>
      <c r="D36" s="44">
        <v>263405</v>
      </c>
      <c r="E36" s="44">
        <v>0</v>
      </c>
      <c r="F36" s="44">
        <v>0</v>
      </c>
      <c r="G36" s="44">
        <v>0</v>
      </c>
      <c r="H36" s="44">
        <v>0</v>
      </c>
      <c r="I36" s="44">
        <f t="shared" ref="I36:I41" si="4">D36-E36-F36-G36-H36</f>
        <v>263405</v>
      </c>
    </row>
    <row r="37" spans="2:9" x14ac:dyDescent="0.2">
      <c r="B37" s="33">
        <v>2</v>
      </c>
      <c r="C37" s="34" t="s">
        <v>1</v>
      </c>
      <c r="D37" s="44">
        <v>0</v>
      </c>
      <c r="E37" s="44">
        <v>0</v>
      </c>
      <c r="F37" s="44">
        <v>0</v>
      </c>
      <c r="G37" s="44">
        <v>0</v>
      </c>
      <c r="H37" s="44">
        <v>0</v>
      </c>
      <c r="I37" s="44">
        <f t="shared" si="4"/>
        <v>0</v>
      </c>
    </row>
    <row r="38" spans="2:9" x14ac:dyDescent="0.2">
      <c r="B38" s="33">
        <v>3</v>
      </c>
      <c r="C38" s="34" t="s">
        <v>2</v>
      </c>
      <c r="D38" s="44">
        <v>0</v>
      </c>
      <c r="E38" s="44">
        <v>0</v>
      </c>
      <c r="F38" s="44">
        <v>0</v>
      </c>
      <c r="G38" s="44">
        <v>0</v>
      </c>
      <c r="H38" s="44">
        <v>0</v>
      </c>
      <c r="I38" s="44">
        <f t="shared" si="4"/>
        <v>0</v>
      </c>
    </row>
    <row r="39" spans="2:9" x14ac:dyDescent="0.2">
      <c r="B39" s="33">
        <v>4</v>
      </c>
      <c r="C39" s="34" t="s">
        <v>68</v>
      </c>
      <c r="D39" s="44">
        <v>0</v>
      </c>
      <c r="E39" s="44">
        <v>0</v>
      </c>
      <c r="F39" s="44">
        <v>0</v>
      </c>
      <c r="G39" s="44">
        <v>0</v>
      </c>
      <c r="H39" s="44">
        <v>0</v>
      </c>
      <c r="I39" s="44">
        <f t="shared" si="4"/>
        <v>0</v>
      </c>
    </row>
    <row r="40" spans="2:9" x14ac:dyDescent="0.2">
      <c r="B40" s="33">
        <v>5</v>
      </c>
      <c r="C40" s="34" t="s">
        <v>4</v>
      </c>
      <c r="D40" s="44">
        <v>0</v>
      </c>
      <c r="E40" s="44">
        <v>0</v>
      </c>
      <c r="F40" s="44">
        <v>0</v>
      </c>
      <c r="G40" s="44">
        <v>0</v>
      </c>
      <c r="H40" s="44">
        <v>0</v>
      </c>
      <c r="I40" s="44">
        <f t="shared" si="4"/>
        <v>0</v>
      </c>
    </row>
    <row r="41" spans="2:9" x14ac:dyDescent="0.2">
      <c r="B41" s="33">
        <v>6</v>
      </c>
      <c r="C41" s="34" t="s">
        <v>74</v>
      </c>
      <c r="D41" s="44">
        <v>0</v>
      </c>
      <c r="E41" s="44">
        <v>0</v>
      </c>
      <c r="F41" s="44">
        <v>0</v>
      </c>
      <c r="G41" s="44">
        <v>0</v>
      </c>
      <c r="H41" s="44">
        <v>0</v>
      </c>
      <c r="I41" s="44">
        <f t="shared" si="4"/>
        <v>0</v>
      </c>
    </row>
    <row r="42" spans="2:9" s="9" customFormat="1" ht="12" thickBot="1" x14ac:dyDescent="0.25">
      <c r="B42" s="46"/>
      <c r="C42" s="38" t="s">
        <v>56</v>
      </c>
      <c r="D42" s="47">
        <f>SUM(D36:D41)</f>
        <v>263405</v>
      </c>
      <c r="E42" s="47">
        <f t="shared" ref="E42:I42" si="5">SUM(E36:E41)</f>
        <v>0</v>
      </c>
      <c r="F42" s="47">
        <f t="shared" si="5"/>
        <v>0</v>
      </c>
      <c r="G42" s="47">
        <f t="shared" si="5"/>
        <v>0</v>
      </c>
      <c r="H42" s="47">
        <f t="shared" si="5"/>
        <v>0</v>
      </c>
      <c r="I42" s="47">
        <f t="shared" si="5"/>
        <v>263405</v>
      </c>
    </row>
    <row r="43" spans="2:9" s="9" customFormat="1" ht="12" thickBot="1" x14ac:dyDescent="0.25">
      <c r="B43" s="282" t="s">
        <v>75</v>
      </c>
      <c r="C43" s="283"/>
      <c r="D43" s="48">
        <f>D20+D33+D42</f>
        <v>23339778.337990198</v>
      </c>
      <c r="E43" s="48">
        <f t="shared" ref="E43:I43" si="6">E20+E33+E42</f>
        <v>332139.50218790001</v>
      </c>
      <c r="F43" s="48">
        <f t="shared" si="6"/>
        <v>89513.651018999997</v>
      </c>
      <c r="G43" s="48">
        <f t="shared" si="6"/>
        <v>243108.53731399999</v>
      </c>
      <c r="H43" s="48">
        <f t="shared" si="6"/>
        <v>0</v>
      </c>
      <c r="I43" s="48">
        <f t="shared" si="6"/>
        <v>22675016.647469297</v>
      </c>
    </row>
    <row r="46" spans="2:9" x14ac:dyDescent="0.2">
      <c r="B46" s="3" t="s">
        <v>22</v>
      </c>
      <c r="C46" s="6" t="s">
        <v>125</v>
      </c>
    </row>
    <row r="47" spans="2:9" x14ac:dyDescent="0.2">
      <c r="C47" s="8" t="s">
        <v>76</v>
      </c>
    </row>
  </sheetData>
  <mergeCells count="8">
    <mergeCell ref="B43:C43"/>
    <mergeCell ref="B3:I3"/>
    <mergeCell ref="B4:B6"/>
    <mergeCell ref="C4:C6"/>
    <mergeCell ref="D4:I4"/>
    <mergeCell ref="D5:D6"/>
    <mergeCell ref="E5:H5"/>
    <mergeCell ref="I5:I6"/>
  </mergeCells>
  <pageMargins left="0.7" right="0.7" top="0.75" bottom="0.75" header="0.3" footer="0.3"/>
  <ignoredErrors>
    <ignoredError sqref="B2 B7:I7 B4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activeCell="D43" sqref="D43"/>
    </sheetView>
  </sheetViews>
  <sheetFormatPr defaultColWidth="8.7109375" defaultRowHeight="11.25" x14ac:dyDescent="0.2"/>
  <cols>
    <col min="1" max="1" width="3.85546875" style="6" customWidth="1"/>
    <col min="2" max="2" width="3.140625" style="22" bestFit="1" customWidth="1"/>
    <col min="3" max="3" width="46.5703125" style="6" bestFit="1" customWidth="1"/>
    <col min="4" max="4" width="10.42578125" style="6" bestFit="1" customWidth="1"/>
    <col min="5" max="6" width="8.140625" style="6" customWidth="1"/>
    <col min="7" max="7" width="10.140625" style="6" bestFit="1" customWidth="1"/>
    <col min="8" max="8" width="8.140625" style="6" customWidth="1"/>
    <col min="9" max="9" width="14.140625" style="6" customWidth="1"/>
    <col min="10" max="10" width="9.7109375" style="6" bestFit="1" customWidth="1"/>
    <col min="11" max="11" width="6.28515625" style="6" bestFit="1" customWidth="1"/>
    <col min="12" max="12" width="5.5703125" style="6" bestFit="1" customWidth="1"/>
    <col min="13" max="13" width="10.140625" style="6" bestFit="1" customWidth="1"/>
    <col min="14" max="14" width="5.42578125" style="6" bestFit="1" customWidth="1"/>
    <col min="15" max="15" width="17.140625" style="6" bestFit="1" customWidth="1"/>
    <col min="16" max="16384" width="8.7109375" style="6"/>
  </cols>
  <sheetData>
    <row r="1" spans="1:15" x14ac:dyDescent="0.2">
      <c r="A1" s="6" t="s">
        <v>126</v>
      </c>
      <c r="B1" s="100" t="s">
        <v>127</v>
      </c>
    </row>
    <row r="2" spans="1:15" x14ac:dyDescent="0.2">
      <c r="B2" s="3" t="s">
        <v>17</v>
      </c>
      <c r="C2" s="6" t="s">
        <v>16</v>
      </c>
    </row>
    <row r="3" spans="1:15" ht="12" thickBot="1" x14ac:dyDescent="0.25">
      <c r="B3" s="49"/>
      <c r="C3" s="49"/>
      <c r="D3" s="49"/>
      <c r="E3" s="49"/>
      <c r="F3" s="49"/>
      <c r="G3" s="49"/>
      <c r="H3" s="49"/>
      <c r="I3" s="49"/>
      <c r="J3" s="49"/>
      <c r="K3" s="49"/>
      <c r="L3" s="49"/>
      <c r="M3" s="49"/>
      <c r="N3" s="49"/>
      <c r="O3" s="103" t="s">
        <v>57</v>
      </c>
    </row>
    <row r="4" spans="1:15" ht="12" thickBot="1" x14ac:dyDescent="0.25">
      <c r="B4" s="285" t="s">
        <v>18</v>
      </c>
      <c r="C4" s="288" t="s">
        <v>19</v>
      </c>
      <c r="D4" s="291" t="s">
        <v>58</v>
      </c>
      <c r="E4" s="292"/>
      <c r="F4" s="292"/>
      <c r="G4" s="292"/>
      <c r="H4" s="292"/>
      <c r="I4" s="293"/>
      <c r="J4" s="291" t="s">
        <v>23</v>
      </c>
      <c r="K4" s="292"/>
      <c r="L4" s="292"/>
      <c r="M4" s="292"/>
      <c r="N4" s="292"/>
      <c r="O4" s="293"/>
    </row>
    <row r="5" spans="1:15" ht="12" thickBot="1" x14ac:dyDescent="0.25">
      <c r="B5" s="286"/>
      <c r="C5" s="289"/>
      <c r="D5" s="298" t="s">
        <v>59</v>
      </c>
      <c r="E5" s="300" t="s">
        <v>62</v>
      </c>
      <c r="F5" s="292"/>
      <c r="G5" s="292"/>
      <c r="H5" s="293"/>
      <c r="I5" s="296" t="s">
        <v>61</v>
      </c>
      <c r="J5" s="294" t="s">
        <v>59</v>
      </c>
      <c r="K5" s="292" t="s">
        <v>60</v>
      </c>
      <c r="L5" s="292"/>
      <c r="M5" s="292"/>
      <c r="N5" s="293"/>
      <c r="O5" s="294" t="s">
        <v>61</v>
      </c>
    </row>
    <row r="6" spans="1:15" ht="12" thickBot="1" x14ac:dyDescent="0.25">
      <c r="B6" s="287"/>
      <c r="C6" s="290"/>
      <c r="D6" s="299"/>
      <c r="E6" s="28" t="s">
        <v>63</v>
      </c>
      <c r="F6" s="28" t="s">
        <v>64</v>
      </c>
      <c r="G6" s="28" t="s">
        <v>65</v>
      </c>
      <c r="H6" s="28" t="s">
        <v>25</v>
      </c>
      <c r="I6" s="297"/>
      <c r="J6" s="295"/>
      <c r="K6" s="28" t="s">
        <v>63</v>
      </c>
      <c r="L6" s="28" t="s">
        <v>64</v>
      </c>
      <c r="M6" s="28" t="s">
        <v>65</v>
      </c>
      <c r="N6" s="28" t="s">
        <v>25</v>
      </c>
      <c r="O6" s="295"/>
    </row>
    <row r="7" spans="1:15" s="43" customFormat="1" ht="10.5" customHeight="1" thickBot="1" x14ac:dyDescent="0.3">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
      <c r="B8" s="29" t="s">
        <v>20</v>
      </c>
      <c r="C8" s="30" t="s">
        <v>21</v>
      </c>
      <c r="D8" s="31"/>
      <c r="E8" s="31"/>
      <c r="F8" s="31"/>
      <c r="G8" s="31"/>
      <c r="H8" s="31"/>
      <c r="I8" s="32"/>
      <c r="J8" s="31"/>
      <c r="K8" s="31"/>
      <c r="L8" s="31"/>
      <c r="M8" s="31"/>
      <c r="N8" s="31"/>
      <c r="O8" s="31"/>
    </row>
    <row r="9" spans="1:15" x14ac:dyDescent="0.2">
      <c r="B9" s="33">
        <v>1</v>
      </c>
      <c r="C9" s="34" t="s">
        <v>0</v>
      </c>
      <c r="D9" s="44">
        <v>4125714.0279359994</v>
      </c>
      <c r="E9" s="44">
        <v>0</v>
      </c>
      <c r="F9" s="44">
        <v>0</v>
      </c>
      <c r="G9" s="44">
        <v>0</v>
      </c>
      <c r="H9" s="44">
        <v>0</v>
      </c>
      <c r="I9" s="44">
        <f>D9-E9-F9-G9-H9</f>
        <v>4125714.0279359994</v>
      </c>
      <c r="J9" s="44">
        <v>5809214.2776210001</v>
      </c>
      <c r="K9" s="44">
        <v>0</v>
      </c>
      <c r="L9" s="44">
        <v>0</v>
      </c>
      <c r="M9" s="44">
        <v>0</v>
      </c>
      <c r="N9" s="44">
        <v>0</v>
      </c>
      <c r="O9" s="44">
        <f>J9-K9-L9-M9-N9</f>
        <v>5809214.2776210001</v>
      </c>
    </row>
    <row r="10" spans="1:15" x14ac:dyDescent="0.2">
      <c r="B10" s="33">
        <v>2</v>
      </c>
      <c r="C10" s="34" t="s">
        <v>1</v>
      </c>
      <c r="D10" s="44">
        <v>114670.83726099999</v>
      </c>
      <c r="E10" s="44">
        <v>13392.857145</v>
      </c>
      <c r="F10" s="44">
        <v>0</v>
      </c>
      <c r="G10" s="44">
        <v>0</v>
      </c>
      <c r="H10" s="44">
        <v>0</v>
      </c>
      <c r="I10" s="44">
        <f t="shared" ref="I10:I19" si="0">D10-E10-F10-G10-H10</f>
        <v>101277.98011599999</v>
      </c>
      <c r="J10" s="44">
        <v>135727.624652</v>
      </c>
      <c r="K10" s="44">
        <v>0</v>
      </c>
      <c r="L10" s="44">
        <v>89513.651018999997</v>
      </c>
      <c r="M10" s="44">
        <v>0</v>
      </c>
      <c r="N10" s="44">
        <v>0</v>
      </c>
      <c r="O10" s="44">
        <f t="shared" ref="O10:O19" si="1">J10-K10-L10-M10-N10</f>
        <v>46213.973633000001</v>
      </c>
    </row>
    <row r="11" spans="1:15" x14ac:dyDescent="0.2">
      <c r="B11" s="33">
        <v>3</v>
      </c>
      <c r="C11" s="34" t="s">
        <v>2</v>
      </c>
      <c r="D11" s="44">
        <v>175.88904600000001</v>
      </c>
      <c r="E11" s="44">
        <v>0</v>
      </c>
      <c r="F11" s="44">
        <v>0</v>
      </c>
      <c r="G11" s="44">
        <v>0</v>
      </c>
      <c r="H11" s="44">
        <v>0</v>
      </c>
      <c r="I11" s="44">
        <f t="shared" si="0"/>
        <v>175.88904600000001</v>
      </c>
      <c r="J11" s="44">
        <v>0</v>
      </c>
      <c r="K11" s="44">
        <v>0</v>
      </c>
      <c r="L11" s="44">
        <v>0</v>
      </c>
      <c r="M11" s="44">
        <v>0</v>
      </c>
      <c r="N11" s="44">
        <v>0</v>
      </c>
      <c r="O11" s="44">
        <f t="shared" si="1"/>
        <v>0</v>
      </c>
    </row>
    <row r="12" spans="1:15" x14ac:dyDescent="0.2">
      <c r="B12" s="33">
        <v>4</v>
      </c>
      <c r="C12" s="34" t="s">
        <v>68</v>
      </c>
      <c r="D12" s="44">
        <v>1445230.801344</v>
      </c>
      <c r="E12" s="44">
        <v>0</v>
      </c>
      <c r="F12" s="44">
        <v>0</v>
      </c>
      <c r="G12" s="44">
        <v>0</v>
      </c>
      <c r="H12" s="44">
        <v>0</v>
      </c>
      <c r="I12" s="44">
        <f t="shared" si="0"/>
        <v>1445230.801344</v>
      </c>
      <c r="J12" s="44">
        <v>1427118.2056979998</v>
      </c>
      <c r="K12" s="44">
        <v>0</v>
      </c>
      <c r="L12" s="44">
        <v>0</v>
      </c>
      <c r="M12" s="44">
        <v>0</v>
      </c>
      <c r="N12" s="44">
        <v>0</v>
      </c>
      <c r="O12" s="44">
        <f t="shared" si="1"/>
        <v>1427118.2056979998</v>
      </c>
    </row>
    <row r="13" spans="1:15" x14ac:dyDescent="0.2">
      <c r="B13" s="33">
        <v>5</v>
      </c>
      <c r="C13" s="34" t="s">
        <v>4</v>
      </c>
      <c r="D13" s="44">
        <v>241209.872431</v>
      </c>
      <c r="E13" s="44">
        <v>0</v>
      </c>
      <c r="F13" s="44">
        <v>0</v>
      </c>
      <c r="G13" s="44">
        <v>0</v>
      </c>
      <c r="H13" s="44">
        <v>0</v>
      </c>
      <c r="I13" s="44">
        <f t="shared" si="0"/>
        <v>241209.872431</v>
      </c>
      <c r="J13" s="44">
        <v>238204.590127</v>
      </c>
      <c r="K13" s="44">
        <v>0</v>
      </c>
      <c r="L13" s="44">
        <v>0</v>
      </c>
      <c r="M13" s="44">
        <v>0</v>
      </c>
      <c r="N13" s="44">
        <v>0</v>
      </c>
      <c r="O13" s="44">
        <f t="shared" si="1"/>
        <v>238204.590127</v>
      </c>
    </row>
    <row r="14" spans="1:15" x14ac:dyDescent="0.2">
      <c r="B14" s="33">
        <v>6</v>
      </c>
      <c r="C14" s="34" t="s">
        <v>5</v>
      </c>
      <c r="D14" s="44">
        <v>62471.178787999997</v>
      </c>
      <c r="E14" s="44">
        <v>0</v>
      </c>
      <c r="F14" s="44">
        <v>0</v>
      </c>
      <c r="G14" s="44">
        <v>0</v>
      </c>
      <c r="H14" s="44">
        <v>0</v>
      </c>
      <c r="I14" s="44">
        <f t="shared" si="0"/>
        <v>62471.178787999997</v>
      </c>
      <c r="J14" s="44">
        <v>8322.4039190000003</v>
      </c>
      <c r="K14" s="44">
        <v>0</v>
      </c>
      <c r="L14" s="44">
        <v>0</v>
      </c>
      <c r="M14" s="44">
        <v>0</v>
      </c>
      <c r="N14" s="44">
        <v>0</v>
      </c>
      <c r="O14" s="44">
        <f t="shared" si="1"/>
        <v>8322.4039190000003</v>
      </c>
    </row>
    <row r="15" spans="1:15" x14ac:dyDescent="0.2">
      <c r="B15" s="33">
        <v>7</v>
      </c>
      <c r="C15" s="34" t="s">
        <v>69</v>
      </c>
      <c r="D15" s="44">
        <v>10123841.65105</v>
      </c>
      <c r="E15" s="44">
        <v>1248.4777799999999</v>
      </c>
      <c r="F15" s="44">
        <v>0</v>
      </c>
      <c r="G15" s="44">
        <v>13.352757</v>
      </c>
      <c r="H15" s="44">
        <v>0</v>
      </c>
      <c r="I15" s="44">
        <f t="shared" si="0"/>
        <v>10122579.820513001</v>
      </c>
      <c r="J15" s="44">
        <v>9604132.9476229995</v>
      </c>
      <c r="K15" s="44">
        <v>735.02807199999995</v>
      </c>
      <c r="L15" s="44">
        <v>0</v>
      </c>
      <c r="M15" s="44">
        <v>0</v>
      </c>
      <c r="N15" s="44">
        <v>0</v>
      </c>
      <c r="O15" s="44">
        <f t="shared" si="1"/>
        <v>9603397.919551</v>
      </c>
    </row>
    <row r="16" spans="1:15" x14ac:dyDescent="0.2">
      <c r="B16" s="33">
        <v>8</v>
      </c>
      <c r="C16" s="34" t="s">
        <v>70</v>
      </c>
      <c r="D16" s="44">
        <v>1020447.584684</v>
      </c>
      <c r="E16" s="44">
        <v>7517.7974919999997</v>
      </c>
      <c r="F16" s="44">
        <v>0</v>
      </c>
      <c r="G16" s="44">
        <v>79345.935245999994</v>
      </c>
      <c r="H16" s="44">
        <v>0</v>
      </c>
      <c r="I16" s="44">
        <f>D16-E16-F16-G16-H16</f>
        <v>933583.85194600001</v>
      </c>
      <c r="J16" s="44">
        <v>918566.37153200002</v>
      </c>
      <c r="K16" s="44">
        <v>6722.0719410000002</v>
      </c>
      <c r="L16" s="44">
        <v>0</v>
      </c>
      <c r="M16" s="44">
        <v>83806.359681999995</v>
      </c>
      <c r="N16" s="44">
        <v>0</v>
      </c>
      <c r="O16" s="44">
        <f t="shared" si="1"/>
        <v>828037.93990900007</v>
      </c>
    </row>
    <row r="17" spans="2:15" x14ac:dyDescent="0.2">
      <c r="B17" s="33">
        <v>9</v>
      </c>
      <c r="C17" s="34" t="s">
        <v>8</v>
      </c>
      <c r="D17" s="44">
        <v>1816198.7691409998</v>
      </c>
      <c r="E17" s="44">
        <v>41977.045234999998</v>
      </c>
      <c r="F17" s="44">
        <v>0</v>
      </c>
      <c r="G17" s="44">
        <v>200</v>
      </c>
      <c r="H17" s="44">
        <v>0</v>
      </c>
      <c r="I17" s="44">
        <f t="shared" si="0"/>
        <v>1774021.7239059997</v>
      </c>
      <c r="J17" s="44">
        <v>1496523.029197</v>
      </c>
      <c r="K17" s="44">
        <v>51219.414532000003</v>
      </c>
      <c r="L17" s="44">
        <v>0</v>
      </c>
      <c r="M17" s="44">
        <v>750.01424999999995</v>
      </c>
      <c r="N17" s="44">
        <v>0</v>
      </c>
      <c r="O17" s="44">
        <f t="shared" si="1"/>
        <v>1444553.600415</v>
      </c>
    </row>
    <row r="18" spans="2:15" x14ac:dyDescent="0.2">
      <c r="B18" s="33">
        <v>10</v>
      </c>
      <c r="C18" s="34" t="s">
        <v>9</v>
      </c>
      <c r="D18" s="44">
        <v>286787.56357100001</v>
      </c>
      <c r="E18" s="44">
        <v>0</v>
      </c>
      <c r="F18" s="44">
        <v>0</v>
      </c>
      <c r="G18" s="44">
        <v>659.07922299999996</v>
      </c>
      <c r="H18" s="44">
        <v>0</v>
      </c>
      <c r="I18" s="44">
        <f t="shared" si="0"/>
        <v>286128.48434800003</v>
      </c>
      <c r="J18" s="44">
        <v>430274.64038599998</v>
      </c>
      <c r="K18" s="44">
        <v>0</v>
      </c>
      <c r="L18" s="44">
        <v>0</v>
      </c>
      <c r="M18" s="44">
        <v>2870.0149489999999</v>
      </c>
      <c r="N18" s="44">
        <v>0</v>
      </c>
      <c r="O18" s="44">
        <f t="shared" si="1"/>
        <v>427404.62543700001</v>
      </c>
    </row>
    <row r="19" spans="2:15" x14ac:dyDescent="0.2">
      <c r="B19" s="33">
        <v>11</v>
      </c>
      <c r="C19" s="34" t="s">
        <v>10</v>
      </c>
      <c r="D19" s="44">
        <v>2195608.7007209999</v>
      </c>
      <c r="E19" s="44">
        <v>0</v>
      </c>
      <c r="F19" s="44">
        <v>0</v>
      </c>
      <c r="G19" s="44">
        <v>0</v>
      </c>
      <c r="H19" s="44">
        <v>0</v>
      </c>
      <c r="I19" s="44">
        <f t="shared" si="0"/>
        <v>2195608.7007209999</v>
      </c>
      <c r="J19" s="44">
        <v>2250421.8545230003</v>
      </c>
      <c r="K19" s="44">
        <v>0</v>
      </c>
      <c r="L19" s="44">
        <v>0</v>
      </c>
      <c r="M19" s="44">
        <v>0</v>
      </c>
      <c r="N19" s="44">
        <v>0</v>
      </c>
      <c r="O19" s="44">
        <f t="shared" si="1"/>
        <v>2250421.8545230003</v>
      </c>
    </row>
    <row r="20" spans="2:15" s="9" customFormat="1" x14ac:dyDescent="0.2">
      <c r="B20" s="36"/>
      <c r="C20" s="35" t="s">
        <v>51</v>
      </c>
      <c r="D20" s="45">
        <f t="shared" ref="D20:I20" si="2">SUM(D9:D19)</f>
        <v>21432356.875972997</v>
      </c>
      <c r="E20" s="45">
        <f t="shared" si="2"/>
        <v>64136.177651999998</v>
      </c>
      <c r="F20" s="45">
        <f t="shared" si="2"/>
        <v>0</v>
      </c>
      <c r="G20" s="45">
        <f t="shared" si="2"/>
        <v>80218.367225999988</v>
      </c>
      <c r="H20" s="45">
        <f t="shared" si="2"/>
        <v>0</v>
      </c>
      <c r="I20" s="45">
        <f t="shared" si="2"/>
        <v>21288002.331094999</v>
      </c>
      <c r="J20" s="45">
        <f>SUM(J9:J19)</f>
        <v>22318505.945278</v>
      </c>
      <c r="K20" s="45">
        <f t="shared" ref="K20:O20" si="3">SUM(K9:K19)</f>
        <v>58676.514545000005</v>
      </c>
      <c r="L20" s="45">
        <f t="shared" si="3"/>
        <v>89513.651018999997</v>
      </c>
      <c r="M20" s="45">
        <f t="shared" si="3"/>
        <v>87426.388880999992</v>
      </c>
      <c r="N20" s="45">
        <f t="shared" si="3"/>
        <v>0</v>
      </c>
      <c r="O20" s="45">
        <f t="shared" si="3"/>
        <v>22082889.390832998</v>
      </c>
    </row>
    <row r="21" spans="2:15" x14ac:dyDescent="0.2">
      <c r="B21" s="33"/>
      <c r="C21" s="34"/>
      <c r="D21" s="44"/>
      <c r="E21" s="44"/>
      <c r="F21" s="44"/>
      <c r="G21" s="44"/>
      <c r="H21" s="44"/>
      <c r="I21" s="50"/>
      <c r="J21" s="34"/>
      <c r="K21" s="34"/>
      <c r="L21" s="34"/>
      <c r="M21" s="34"/>
      <c r="N21" s="34"/>
      <c r="O21" s="34"/>
    </row>
    <row r="22" spans="2:15" x14ac:dyDescent="0.2">
      <c r="B22" s="36" t="s">
        <v>52</v>
      </c>
      <c r="C22" s="37" t="s">
        <v>71</v>
      </c>
      <c r="D22" s="44"/>
      <c r="E22" s="44"/>
      <c r="F22" s="44"/>
      <c r="G22" s="44"/>
      <c r="H22" s="44"/>
      <c r="I22" s="50"/>
      <c r="J22" s="34"/>
      <c r="K22" s="34"/>
      <c r="L22" s="34"/>
      <c r="M22" s="34"/>
      <c r="N22" s="34"/>
      <c r="O22" s="34"/>
    </row>
    <row r="23" spans="2:15" x14ac:dyDescent="0.2">
      <c r="B23" s="33">
        <v>1</v>
      </c>
      <c r="C23" s="34" t="s">
        <v>0</v>
      </c>
      <c r="D23" s="44">
        <v>0</v>
      </c>
      <c r="E23" s="44">
        <v>0</v>
      </c>
      <c r="F23" s="44">
        <v>0</v>
      </c>
      <c r="G23" s="44">
        <v>0</v>
      </c>
      <c r="H23" s="44">
        <v>0</v>
      </c>
      <c r="I23" s="44">
        <f t="shared" ref="I23:I32" si="4">D23-E23-F23-G23-H23</f>
        <v>0</v>
      </c>
      <c r="J23" s="44">
        <v>2675</v>
      </c>
      <c r="K23" s="44">
        <v>0</v>
      </c>
      <c r="L23" s="44">
        <v>0</v>
      </c>
      <c r="M23" s="44">
        <v>0</v>
      </c>
      <c r="N23" s="44">
        <v>0</v>
      </c>
      <c r="O23" s="44">
        <f t="shared" ref="O23:O32" si="5">J23-K23-L23-M23-N23</f>
        <v>2675</v>
      </c>
    </row>
    <row r="24" spans="2:15" x14ac:dyDescent="0.2">
      <c r="B24" s="33">
        <v>2</v>
      </c>
      <c r="C24" s="34" t="s">
        <v>1</v>
      </c>
      <c r="D24" s="44">
        <v>135894.926205</v>
      </c>
      <c r="E24" s="44">
        <v>55874.268990500001</v>
      </c>
      <c r="F24" s="44">
        <v>0</v>
      </c>
      <c r="G24" s="44">
        <v>78103.987714500006</v>
      </c>
      <c r="H24" s="44">
        <v>0</v>
      </c>
      <c r="I24" s="44">
        <f t="shared" si="4"/>
        <v>1916.6694999999891</v>
      </c>
      <c r="J24" s="44">
        <v>269036.02745350002</v>
      </c>
      <c r="K24" s="44">
        <v>266372.6598885</v>
      </c>
      <c r="L24" s="44">
        <v>0</v>
      </c>
      <c r="M24" s="44">
        <v>1313.367565</v>
      </c>
      <c r="N24" s="44">
        <v>0</v>
      </c>
      <c r="O24" s="44">
        <f t="shared" si="5"/>
        <v>1350.0000000000223</v>
      </c>
    </row>
    <row r="25" spans="2:15" x14ac:dyDescent="0.2">
      <c r="B25" s="33">
        <v>3</v>
      </c>
      <c r="C25" s="34" t="s">
        <v>2</v>
      </c>
      <c r="D25" s="44">
        <v>0</v>
      </c>
      <c r="E25" s="44">
        <v>0</v>
      </c>
      <c r="F25" s="44">
        <v>0</v>
      </c>
      <c r="G25" s="44">
        <v>0</v>
      </c>
      <c r="H25" s="44">
        <v>0</v>
      </c>
      <c r="I25" s="44">
        <f t="shared" si="4"/>
        <v>0</v>
      </c>
      <c r="J25" s="44">
        <v>0</v>
      </c>
      <c r="K25" s="44">
        <v>0</v>
      </c>
      <c r="L25" s="44">
        <v>0</v>
      </c>
      <c r="M25" s="44">
        <v>0</v>
      </c>
      <c r="N25" s="44">
        <v>0</v>
      </c>
      <c r="O25" s="44">
        <f t="shared" si="5"/>
        <v>0</v>
      </c>
    </row>
    <row r="26" spans="2:15" x14ac:dyDescent="0.2">
      <c r="B26" s="33">
        <v>4</v>
      </c>
      <c r="C26" s="34" t="s">
        <v>68</v>
      </c>
      <c r="D26" s="44">
        <v>4166.1134934000002</v>
      </c>
      <c r="E26" s="44">
        <v>0</v>
      </c>
      <c r="F26" s="44">
        <v>0</v>
      </c>
      <c r="G26" s="44">
        <v>0</v>
      </c>
      <c r="H26" s="44">
        <v>0</v>
      </c>
      <c r="I26" s="44">
        <f t="shared" si="4"/>
        <v>4166.1134934000002</v>
      </c>
      <c r="J26" s="44">
        <v>31.533471800000001</v>
      </c>
      <c r="K26" s="44">
        <v>0</v>
      </c>
      <c r="L26" s="44">
        <v>0</v>
      </c>
      <c r="M26" s="44">
        <v>0</v>
      </c>
      <c r="N26" s="44">
        <v>0</v>
      </c>
      <c r="O26" s="44">
        <f t="shared" si="5"/>
        <v>31.533471800000001</v>
      </c>
    </row>
    <row r="27" spans="2:15" x14ac:dyDescent="0.2">
      <c r="B27" s="33">
        <v>5</v>
      </c>
      <c r="C27" s="34" t="s">
        <v>4</v>
      </c>
      <c r="D27" s="44">
        <v>28.866493999999999</v>
      </c>
      <c r="E27" s="44">
        <v>0</v>
      </c>
      <c r="F27" s="44">
        <v>0</v>
      </c>
      <c r="G27" s="44">
        <v>0</v>
      </c>
      <c r="H27" s="44">
        <v>0</v>
      </c>
      <c r="I27" s="44">
        <f t="shared" si="4"/>
        <v>28.866493999999999</v>
      </c>
      <c r="J27" s="44">
        <v>28.360011</v>
      </c>
      <c r="K27" s="44">
        <v>0</v>
      </c>
      <c r="L27" s="44">
        <v>0</v>
      </c>
      <c r="M27" s="44">
        <v>0</v>
      </c>
      <c r="N27" s="44">
        <v>0</v>
      </c>
      <c r="O27" s="44">
        <f t="shared" si="5"/>
        <v>28.360011</v>
      </c>
    </row>
    <row r="28" spans="2:15" x14ac:dyDescent="0.2">
      <c r="B28" s="33">
        <v>6</v>
      </c>
      <c r="C28" s="34" t="s">
        <v>5</v>
      </c>
      <c r="D28" s="44">
        <v>0</v>
      </c>
      <c r="E28" s="44">
        <v>0</v>
      </c>
      <c r="F28" s="44">
        <v>0</v>
      </c>
      <c r="G28" s="44">
        <v>0</v>
      </c>
      <c r="H28" s="44">
        <v>0</v>
      </c>
      <c r="I28" s="44">
        <f t="shared" si="4"/>
        <v>0</v>
      </c>
      <c r="J28" s="44">
        <v>129.82544179999999</v>
      </c>
      <c r="K28" s="44">
        <v>0</v>
      </c>
      <c r="L28" s="44">
        <v>0</v>
      </c>
      <c r="M28" s="44">
        <v>0</v>
      </c>
      <c r="N28" s="44">
        <v>0</v>
      </c>
      <c r="O28" s="44">
        <f t="shared" si="5"/>
        <v>129.82544179999999</v>
      </c>
    </row>
    <row r="29" spans="2:15" x14ac:dyDescent="0.2">
      <c r="B29" s="33">
        <v>7</v>
      </c>
      <c r="C29" s="34" t="s">
        <v>69</v>
      </c>
      <c r="D29" s="44">
        <v>1.5668150000000001</v>
      </c>
      <c r="E29" s="44">
        <v>0</v>
      </c>
      <c r="F29" s="44">
        <v>0</v>
      </c>
      <c r="G29" s="44">
        <v>0</v>
      </c>
      <c r="H29" s="44">
        <v>0</v>
      </c>
      <c r="I29" s="44">
        <f t="shared" si="4"/>
        <v>1.5668150000000001</v>
      </c>
      <c r="J29" s="44">
        <v>100.42940900000001</v>
      </c>
      <c r="K29" s="44">
        <v>0</v>
      </c>
      <c r="L29" s="44">
        <v>0</v>
      </c>
      <c r="M29" s="44">
        <v>0</v>
      </c>
      <c r="N29" s="44">
        <v>0</v>
      </c>
      <c r="O29" s="44">
        <f t="shared" si="5"/>
        <v>100.42940900000001</v>
      </c>
    </row>
    <row r="30" spans="2:15" x14ac:dyDescent="0.2">
      <c r="B30" s="33">
        <v>8</v>
      </c>
      <c r="C30" s="34" t="s">
        <v>70</v>
      </c>
      <c r="D30" s="44">
        <v>102132.1931512</v>
      </c>
      <c r="E30" s="44">
        <v>3307.5195428000002</v>
      </c>
      <c r="F30" s="44">
        <v>0</v>
      </c>
      <c r="G30" s="44">
        <v>48397.038062500003</v>
      </c>
      <c r="H30" s="44">
        <v>0</v>
      </c>
      <c r="I30" s="44">
        <f t="shared" si="4"/>
        <v>50427.635545899997</v>
      </c>
      <c r="J30" s="44">
        <v>111669.38948000001</v>
      </c>
      <c r="K30" s="44">
        <v>2938.5790228999999</v>
      </c>
      <c r="L30" s="44">
        <v>0</v>
      </c>
      <c r="M30" s="44">
        <v>58015.906586999998</v>
      </c>
      <c r="N30" s="44">
        <v>0</v>
      </c>
      <c r="O30" s="44">
        <f t="shared" si="5"/>
        <v>50714.903870100017</v>
      </c>
    </row>
    <row r="31" spans="2:15" x14ac:dyDescent="0.2">
      <c r="B31" s="33">
        <v>9</v>
      </c>
      <c r="C31" s="34" t="s">
        <v>8</v>
      </c>
      <c r="D31" s="44">
        <v>304726.8521059</v>
      </c>
      <c r="E31" s="44">
        <v>38228.087794999999</v>
      </c>
      <c r="F31" s="44">
        <v>0</v>
      </c>
      <c r="G31" s="44">
        <v>0</v>
      </c>
      <c r="H31" s="44">
        <v>0</v>
      </c>
      <c r="I31" s="44">
        <f t="shared" si="4"/>
        <v>266498.76431090001</v>
      </c>
      <c r="J31" s="44">
        <v>338093.33903759997</v>
      </c>
      <c r="K31" s="44">
        <v>4151.7487314999998</v>
      </c>
      <c r="L31" s="44">
        <v>0</v>
      </c>
      <c r="M31" s="44">
        <v>96352.874280999997</v>
      </c>
      <c r="N31" s="44">
        <v>0</v>
      </c>
      <c r="O31" s="44">
        <f t="shared" si="5"/>
        <v>237588.71602509997</v>
      </c>
    </row>
    <row r="32" spans="2:15" x14ac:dyDescent="0.2">
      <c r="B32" s="33">
        <v>10</v>
      </c>
      <c r="C32" s="34" t="s">
        <v>9</v>
      </c>
      <c r="D32" s="44">
        <v>6166.3659109999999</v>
      </c>
      <c r="E32" s="44">
        <v>0</v>
      </c>
      <c r="F32" s="44">
        <v>0</v>
      </c>
      <c r="G32" s="44">
        <v>0</v>
      </c>
      <c r="H32" s="44">
        <v>0</v>
      </c>
      <c r="I32" s="44">
        <f t="shared" si="4"/>
        <v>6166.3659109999999</v>
      </c>
      <c r="J32" s="44">
        <v>36103.488407500001</v>
      </c>
      <c r="K32" s="44">
        <v>0</v>
      </c>
      <c r="L32" s="44">
        <v>0</v>
      </c>
      <c r="M32" s="44">
        <v>0</v>
      </c>
      <c r="N32" s="44">
        <v>0</v>
      </c>
      <c r="O32" s="44">
        <f t="shared" si="5"/>
        <v>36103.488407500001</v>
      </c>
    </row>
    <row r="33" spans="2:15" s="9" customFormat="1" x14ac:dyDescent="0.2">
      <c r="B33" s="36"/>
      <c r="C33" s="35" t="s">
        <v>72</v>
      </c>
      <c r="D33" s="45">
        <f t="shared" ref="D33:I33" si="6">SUM(D23:D32)</f>
        <v>553116.8841754999</v>
      </c>
      <c r="E33" s="45">
        <f t="shared" si="6"/>
        <v>97409.876328300001</v>
      </c>
      <c r="F33" s="45">
        <f t="shared" si="6"/>
        <v>0</v>
      </c>
      <c r="G33" s="45">
        <f t="shared" si="6"/>
        <v>126501.025777</v>
      </c>
      <c r="H33" s="45">
        <f t="shared" si="6"/>
        <v>0</v>
      </c>
      <c r="I33" s="45">
        <f t="shared" si="6"/>
        <v>329205.98207019997</v>
      </c>
      <c r="J33" s="45">
        <f>SUM(J23:J32)</f>
        <v>757867.39271219994</v>
      </c>
      <c r="K33" s="45">
        <f t="shared" ref="K33:O33" si="7">SUM(K23:K32)</f>
        <v>273462.98764290003</v>
      </c>
      <c r="L33" s="45">
        <f t="shared" si="7"/>
        <v>0</v>
      </c>
      <c r="M33" s="45">
        <f t="shared" si="7"/>
        <v>155682.14843299999</v>
      </c>
      <c r="N33" s="45">
        <f t="shared" si="7"/>
        <v>0</v>
      </c>
      <c r="O33" s="45">
        <f t="shared" si="7"/>
        <v>328722.25663630001</v>
      </c>
    </row>
    <row r="34" spans="2:15" x14ac:dyDescent="0.2">
      <c r="B34" s="33"/>
      <c r="C34" s="34"/>
      <c r="D34" s="44"/>
      <c r="E34" s="44"/>
      <c r="F34" s="44"/>
      <c r="G34" s="44"/>
      <c r="H34" s="44"/>
      <c r="I34" s="50"/>
      <c r="J34" s="34"/>
      <c r="K34" s="34"/>
      <c r="L34" s="34"/>
      <c r="M34" s="34"/>
      <c r="N34" s="34"/>
      <c r="O34" s="34"/>
    </row>
    <row r="35" spans="2:15" x14ac:dyDescent="0.2">
      <c r="B35" s="36" t="s">
        <v>54</v>
      </c>
      <c r="C35" s="37" t="s">
        <v>73</v>
      </c>
      <c r="D35" s="44"/>
      <c r="E35" s="44"/>
      <c r="F35" s="44"/>
      <c r="G35" s="44"/>
      <c r="H35" s="44"/>
      <c r="I35" s="50"/>
      <c r="J35" s="34"/>
      <c r="K35" s="34"/>
      <c r="L35" s="34"/>
      <c r="M35" s="34"/>
      <c r="N35" s="34"/>
      <c r="O35" s="34"/>
    </row>
    <row r="36" spans="2:15" x14ac:dyDescent="0.2">
      <c r="B36" s="33">
        <v>1</v>
      </c>
      <c r="C36" s="34" t="s">
        <v>0</v>
      </c>
      <c r="D36" s="44">
        <v>290969.09999999998</v>
      </c>
      <c r="E36" s="44">
        <v>0</v>
      </c>
      <c r="F36" s="44">
        <v>0</v>
      </c>
      <c r="G36" s="44">
        <v>0</v>
      </c>
      <c r="H36" s="44">
        <v>0</v>
      </c>
      <c r="I36" s="44">
        <f t="shared" ref="I36:I41" si="8">D36-E36-F36-G36-H36</f>
        <v>290969.09999999998</v>
      </c>
      <c r="J36" s="44">
        <v>263405</v>
      </c>
      <c r="K36" s="44">
        <v>0</v>
      </c>
      <c r="L36" s="44">
        <v>0</v>
      </c>
      <c r="M36" s="44">
        <v>0</v>
      </c>
      <c r="N36" s="44">
        <v>0</v>
      </c>
      <c r="O36" s="44">
        <f t="shared" ref="O36:O41" si="9">J36-K36-L36-M36-N36</f>
        <v>263405</v>
      </c>
    </row>
    <row r="37" spans="2:15" x14ac:dyDescent="0.2">
      <c r="B37" s="33">
        <v>2</v>
      </c>
      <c r="C37" s="34" t="s">
        <v>1</v>
      </c>
      <c r="D37" s="44">
        <v>0</v>
      </c>
      <c r="E37" s="44">
        <v>0</v>
      </c>
      <c r="F37" s="44">
        <v>0</v>
      </c>
      <c r="G37" s="44">
        <v>0</v>
      </c>
      <c r="H37" s="44">
        <v>0</v>
      </c>
      <c r="I37" s="44">
        <f t="shared" si="8"/>
        <v>0</v>
      </c>
      <c r="J37" s="44">
        <v>0</v>
      </c>
      <c r="K37" s="44">
        <v>0</v>
      </c>
      <c r="L37" s="44">
        <v>0</v>
      </c>
      <c r="M37" s="44">
        <v>0</v>
      </c>
      <c r="N37" s="44">
        <v>0</v>
      </c>
      <c r="O37" s="44">
        <f t="shared" si="9"/>
        <v>0</v>
      </c>
    </row>
    <row r="38" spans="2:15" x14ac:dyDescent="0.2">
      <c r="B38" s="33">
        <v>3</v>
      </c>
      <c r="C38" s="34" t="s">
        <v>2</v>
      </c>
      <c r="D38" s="44">
        <v>0</v>
      </c>
      <c r="E38" s="44">
        <v>0</v>
      </c>
      <c r="F38" s="44">
        <v>0</v>
      </c>
      <c r="G38" s="44">
        <v>0</v>
      </c>
      <c r="H38" s="44">
        <v>0</v>
      </c>
      <c r="I38" s="44">
        <f t="shared" si="8"/>
        <v>0</v>
      </c>
      <c r="J38" s="44">
        <v>0</v>
      </c>
      <c r="K38" s="44">
        <v>0</v>
      </c>
      <c r="L38" s="44">
        <v>0</v>
      </c>
      <c r="M38" s="44">
        <v>0</v>
      </c>
      <c r="N38" s="44">
        <v>0</v>
      </c>
      <c r="O38" s="44">
        <f t="shared" si="9"/>
        <v>0</v>
      </c>
    </row>
    <row r="39" spans="2:15" x14ac:dyDescent="0.2">
      <c r="B39" s="33">
        <v>4</v>
      </c>
      <c r="C39" s="34" t="s">
        <v>68</v>
      </c>
      <c r="D39" s="44">
        <v>0</v>
      </c>
      <c r="E39" s="44">
        <v>0</v>
      </c>
      <c r="F39" s="44">
        <v>0</v>
      </c>
      <c r="G39" s="44">
        <v>0</v>
      </c>
      <c r="H39" s="44">
        <v>0</v>
      </c>
      <c r="I39" s="44">
        <f t="shared" si="8"/>
        <v>0</v>
      </c>
      <c r="J39" s="44">
        <v>0</v>
      </c>
      <c r="K39" s="44">
        <v>0</v>
      </c>
      <c r="L39" s="44">
        <v>0</v>
      </c>
      <c r="M39" s="44">
        <v>0</v>
      </c>
      <c r="N39" s="44">
        <v>0</v>
      </c>
      <c r="O39" s="44">
        <f t="shared" si="9"/>
        <v>0</v>
      </c>
    </row>
    <row r="40" spans="2:15" x14ac:dyDescent="0.2">
      <c r="B40" s="33">
        <v>5</v>
      </c>
      <c r="C40" s="34" t="s">
        <v>4</v>
      </c>
      <c r="D40" s="44">
        <v>0</v>
      </c>
      <c r="E40" s="44">
        <v>0</v>
      </c>
      <c r="F40" s="44">
        <v>0</v>
      </c>
      <c r="G40" s="44">
        <v>0</v>
      </c>
      <c r="H40" s="44">
        <v>0</v>
      </c>
      <c r="I40" s="44">
        <f t="shared" si="8"/>
        <v>0</v>
      </c>
      <c r="J40" s="44">
        <v>0</v>
      </c>
      <c r="K40" s="44">
        <v>0</v>
      </c>
      <c r="L40" s="44">
        <v>0</v>
      </c>
      <c r="M40" s="44">
        <v>0</v>
      </c>
      <c r="N40" s="44">
        <v>0</v>
      </c>
      <c r="O40" s="44">
        <f t="shared" si="9"/>
        <v>0</v>
      </c>
    </row>
    <row r="41" spans="2:15" x14ac:dyDescent="0.2">
      <c r="B41" s="33">
        <v>6</v>
      </c>
      <c r="C41" s="34" t="s">
        <v>74</v>
      </c>
      <c r="D41" s="44">
        <v>0</v>
      </c>
      <c r="E41" s="44">
        <v>0</v>
      </c>
      <c r="F41" s="44">
        <v>0</v>
      </c>
      <c r="G41" s="44">
        <v>0</v>
      </c>
      <c r="H41" s="44">
        <v>0</v>
      </c>
      <c r="I41" s="44">
        <f t="shared" si="8"/>
        <v>0</v>
      </c>
      <c r="J41" s="44">
        <v>0</v>
      </c>
      <c r="K41" s="44">
        <v>0</v>
      </c>
      <c r="L41" s="44">
        <v>0</v>
      </c>
      <c r="M41" s="44">
        <v>0</v>
      </c>
      <c r="N41" s="44">
        <v>0</v>
      </c>
      <c r="O41" s="44">
        <f t="shared" si="9"/>
        <v>0</v>
      </c>
    </row>
    <row r="42" spans="2:15" s="9" customFormat="1" ht="12" thickBot="1" x14ac:dyDescent="0.25">
      <c r="B42" s="46"/>
      <c r="C42" s="38" t="s">
        <v>56</v>
      </c>
      <c r="D42" s="47">
        <f t="shared" ref="D42:I42" si="10">SUM(D36:D41)</f>
        <v>290969.09999999998</v>
      </c>
      <c r="E42" s="47">
        <f t="shared" si="10"/>
        <v>0</v>
      </c>
      <c r="F42" s="47">
        <f t="shared" si="10"/>
        <v>0</v>
      </c>
      <c r="G42" s="47">
        <f t="shared" si="10"/>
        <v>0</v>
      </c>
      <c r="H42" s="47">
        <f t="shared" si="10"/>
        <v>0</v>
      </c>
      <c r="I42" s="47">
        <f t="shared" si="10"/>
        <v>290969.09999999998</v>
      </c>
      <c r="J42" s="47">
        <f>SUM(J36:J41)</f>
        <v>263405</v>
      </c>
      <c r="K42" s="47">
        <f t="shared" ref="K42:O42" si="11">SUM(K36:K41)</f>
        <v>0</v>
      </c>
      <c r="L42" s="47">
        <f t="shared" si="11"/>
        <v>0</v>
      </c>
      <c r="M42" s="47">
        <f t="shared" si="11"/>
        <v>0</v>
      </c>
      <c r="N42" s="47">
        <f t="shared" si="11"/>
        <v>0</v>
      </c>
      <c r="O42" s="47">
        <f t="shared" si="11"/>
        <v>263405</v>
      </c>
    </row>
    <row r="43" spans="2:15" s="9" customFormat="1" ht="12" thickBot="1" x14ac:dyDescent="0.25">
      <c r="B43" s="282" t="s">
        <v>75</v>
      </c>
      <c r="C43" s="283"/>
      <c r="D43" s="51">
        <f t="shared" ref="D43:I43" si="12">D20+D33+D42</f>
        <v>22276442.860148497</v>
      </c>
      <c r="E43" s="51">
        <f t="shared" si="12"/>
        <v>161546.0539803</v>
      </c>
      <c r="F43" s="51">
        <f t="shared" si="12"/>
        <v>0</v>
      </c>
      <c r="G43" s="51">
        <f t="shared" si="12"/>
        <v>206719.393003</v>
      </c>
      <c r="H43" s="51">
        <f t="shared" si="12"/>
        <v>0</v>
      </c>
      <c r="I43" s="51">
        <f t="shared" si="12"/>
        <v>21908177.413165201</v>
      </c>
      <c r="J43" s="48">
        <f>J20+J33+J42</f>
        <v>23339778.337990198</v>
      </c>
      <c r="K43" s="48">
        <f t="shared" ref="K43:O43" si="13">K20+K33+K42</f>
        <v>332139.50218790001</v>
      </c>
      <c r="L43" s="48">
        <f t="shared" si="13"/>
        <v>89513.651018999997</v>
      </c>
      <c r="M43" s="48">
        <f t="shared" si="13"/>
        <v>243108.53731399999</v>
      </c>
      <c r="N43" s="48">
        <f t="shared" si="13"/>
        <v>0</v>
      </c>
      <c r="O43" s="48">
        <f t="shared" si="13"/>
        <v>22675016.647469297</v>
      </c>
    </row>
    <row r="46" spans="2:15" x14ac:dyDescent="0.2">
      <c r="B46" s="3" t="s">
        <v>22</v>
      </c>
      <c r="C46" s="6" t="s">
        <v>125</v>
      </c>
    </row>
    <row r="47" spans="2:15" x14ac:dyDescent="0.2">
      <c r="C47" s="8" t="s">
        <v>76</v>
      </c>
    </row>
  </sheetData>
  <mergeCells count="11">
    <mergeCell ref="I5:I6"/>
    <mergeCell ref="B43:C43"/>
    <mergeCell ref="B4:B6"/>
    <mergeCell ref="C4:C6"/>
    <mergeCell ref="J4:O4"/>
    <mergeCell ref="D4:I4"/>
    <mergeCell ref="J5:J6"/>
    <mergeCell ref="K5:N5"/>
    <mergeCell ref="O5:O6"/>
    <mergeCell ref="D5:D6"/>
    <mergeCell ref="E5:H5"/>
  </mergeCells>
  <pageMargins left="0.7" right="0.7" top="0.75" bottom="0.75" header="0.3" footer="0.3"/>
  <ignoredErrors>
    <ignoredError sqref="B2 B7:O7 B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B1" zoomScale="104" zoomScaleNormal="104" workbookViewId="0">
      <pane xSplit="2" ySplit="13" topLeftCell="J35" activePane="bottomRight" state="frozen"/>
      <selection activeCell="B1" sqref="B1"/>
      <selection pane="topRight" activeCell="D1" sqref="D1"/>
      <selection pane="bottomLeft" activeCell="B14" sqref="B14"/>
      <selection pane="bottomRight" activeCell="P26" sqref="P26"/>
    </sheetView>
  </sheetViews>
  <sheetFormatPr defaultColWidth="8.7109375" defaultRowHeight="11.25" x14ac:dyDescent="0.2"/>
  <cols>
    <col min="1" max="1" width="2.85546875" style="22" bestFit="1" customWidth="1"/>
    <col min="2" max="2" width="32" style="6" customWidth="1"/>
    <col min="3" max="3" width="19" style="6" customWidth="1"/>
    <col min="4" max="4" width="7.42578125" style="6" bestFit="1" customWidth="1"/>
    <col min="5" max="5" width="13.140625" style="6" customWidth="1"/>
    <col min="6" max="6" width="11.7109375" style="6" customWidth="1"/>
    <col min="7" max="7" width="14.7109375" style="6" customWidth="1"/>
    <col min="8" max="8" width="13.140625" style="6" customWidth="1"/>
    <col min="9" max="9" width="11.42578125" style="6" customWidth="1"/>
    <col min="10" max="10" width="11.7109375" style="6" customWidth="1"/>
    <col min="11" max="11" width="12" style="6" customWidth="1"/>
    <col min="12" max="12" width="11.85546875" style="6" customWidth="1"/>
    <col min="13" max="13" width="12.140625" style="6" customWidth="1"/>
    <col min="14" max="14" width="11.85546875" style="6" customWidth="1"/>
    <col min="15" max="15" width="11.85546875" style="6" bestFit="1" customWidth="1"/>
    <col min="16" max="16" width="9.5703125" style="6" bestFit="1" customWidth="1"/>
    <col min="17" max="17" width="10.5703125" style="6" bestFit="1" customWidth="1"/>
    <col min="18" max="16384" width="8.7109375" style="6"/>
  </cols>
  <sheetData>
    <row r="1" spans="1:17" x14ac:dyDescent="0.2">
      <c r="A1" s="100" t="s">
        <v>234</v>
      </c>
    </row>
    <row r="2" spans="1:17" x14ac:dyDescent="0.2">
      <c r="A2" s="100"/>
      <c r="B2" s="6" t="s">
        <v>235</v>
      </c>
    </row>
    <row r="3" spans="1:17" x14ac:dyDescent="0.2">
      <c r="A3" s="100"/>
    </row>
    <row r="4" spans="1:17" x14ac:dyDescent="0.2">
      <c r="A4" s="23"/>
      <c r="B4" s="16"/>
      <c r="C4" s="16"/>
      <c r="D4" s="260" t="s">
        <v>58</v>
      </c>
      <c r="E4" s="261"/>
      <c r="F4" s="261"/>
      <c r="G4" s="261"/>
      <c r="H4" s="261"/>
      <c r="I4" s="261"/>
      <c r="J4" s="261"/>
      <c r="K4" s="261"/>
      <c r="L4" s="261"/>
      <c r="M4" s="261"/>
      <c r="N4" s="261"/>
      <c r="O4" s="261"/>
      <c r="P4" s="261"/>
    </row>
    <row r="5" spans="1:17" x14ac:dyDescent="0.2">
      <c r="A5" s="265"/>
      <c r="B5" s="262" t="s">
        <v>19</v>
      </c>
      <c r="C5" s="16"/>
      <c r="D5" s="271" t="s">
        <v>59</v>
      </c>
      <c r="E5" s="272"/>
      <c r="F5" s="272"/>
      <c r="G5" s="272"/>
      <c r="H5" s="272"/>
      <c r="I5" s="272"/>
      <c r="J5" s="272"/>
      <c r="K5" s="272"/>
      <c r="L5" s="272"/>
      <c r="M5" s="272"/>
      <c r="N5" s="272"/>
      <c r="O5" s="272"/>
      <c r="P5" s="273"/>
    </row>
    <row r="6" spans="1:17" x14ac:dyDescent="0.2">
      <c r="A6" s="266"/>
      <c r="B6" s="263"/>
      <c r="C6" s="16" t="s">
        <v>164</v>
      </c>
      <c r="D6" s="261" t="s">
        <v>233</v>
      </c>
      <c r="E6" s="261"/>
      <c r="F6" s="261"/>
      <c r="G6" s="261"/>
      <c r="H6" s="261"/>
      <c r="I6" s="261"/>
      <c r="J6" s="261"/>
      <c r="K6" s="261" t="s">
        <v>232</v>
      </c>
      <c r="L6" s="261"/>
      <c r="M6" s="261"/>
      <c r="N6" s="261"/>
      <c r="O6" s="268" t="s">
        <v>230</v>
      </c>
      <c r="P6" s="262" t="s">
        <v>231</v>
      </c>
    </row>
    <row r="7" spans="1:17"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7"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7"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7"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7"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7" x14ac:dyDescent="0.2">
      <c r="A12" s="267"/>
      <c r="B12" s="264"/>
      <c r="C12" s="16" t="s">
        <v>218</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7"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7" s="120" customFormat="1" x14ac:dyDescent="0.25">
      <c r="A14" s="121">
        <v>1</v>
      </c>
      <c r="B14" s="131" t="s">
        <v>0</v>
      </c>
      <c r="C14" s="124"/>
      <c r="D14" s="124">
        <v>14767.716585</v>
      </c>
      <c r="E14" s="124"/>
      <c r="F14" s="124"/>
      <c r="G14" s="124"/>
      <c r="H14" s="124"/>
      <c r="I14" s="124"/>
      <c r="J14" s="124"/>
      <c r="K14" s="124"/>
      <c r="L14" s="124"/>
      <c r="M14" s="124"/>
      <c r="N14" s="124"/>
      <c r="O14" s="124">
        <f>290969.1+1081498.61003+3029447.701321</f>
        <v>4401915.411351</v>
      </c>
      <c r="P14" s="136">
        <f>SUM(D14:O14)</f>
        <v>4416683.127936</v>
      </c>
      <c r="Q14" s="132">
        <v>4416683.1279359991</v>
      </c>
    </row>
    <row r="15" spans="1:17" s="120" customFormat="1" x14ac:dyDescent="0.25">
      <c r="A15" s="121">
        <v>2</v>
      </c>
      <c r="B15" s="131" t="s">
        <v>1</v>
      </c>
      <c r="C15" s="124"/>
      <c r="D15" s="124">
        <v>80965.2</v>
      </c>
      <c r="E15" s="124"/>
      <c r="F15" s="124">
        <v>19953.7</v>
      </c>
      <c r="G15" s="124"/>
      <c r="H15" s="124"/>
      <c r="I15" s="124"/>
      <c r="J15" s="124"/>
      <c r="K15" s="124"/>
      <c r="L15" s="124"/>
      <c r="M15" s="124"/>
      <c r="N15" s="124"/>
      <c r="O15" s="124">
        <f>13751.937261+135894.926205</f>
        <v>149646.86346600001</v>
      </c>
      <c r="P15" s="136">
        <f t="shared" ref="P15:P24" si="0">SUM(D15:O15)</f>
        <v>250565.763466</v>
      </c>
      <c r="Q15" s="132">
        <v>250565.76346599997</v>
      </c>
    </row>
    <row r="16" spans="1:17" s="120" customFormat="1" ht="22.5" x14ac:dyDescent="0.25">
      <c r="A16" s="121">
        <v>3</v>
      </c>
      <c r="B16" s="122" t="s">
        <v>2</v>
      </c>
      <c r="C16" s="124"/>
      <c r="D16" s="124"/>
      <c r="E16" s="124"/>
      <c r="F16" s="124"/>
      <c r="G16" s="124"/>
      <c r="H16" s="124"/>
      <c r="I16" s="124"/>
      <c r="J16" s="124"/>
      <c r="K16" s="124"/>
      <c r="L16" s="124"/>
      <c r="M16" s="124"/>
      <c r="N16" s="124"/>
      <c r="O16" s="124">
        <v>175.88904600000001</v>
      </c>
      <c r="P16" s="136">
        <f t="shared" si="0"/>
        <v>175.88904600000001</v>
      </c>
      <c r="Q16" s="132">
        <v>175.88904600000001</v>
      </c>
    </row>
    <row r="17" spans="1:18" s="120" customFormat="1" x14ac:dyDescent="0.25">
      <c r="A17" s="121">
        <v>4</v>
      </c>
      <c r="B17" s="131" t="s">
        <v>3</v>
      </c>
      <c r="C17" s="124"/>
      <c r="D17" s="124">
        <f>31347.165949+430188.161391+20000+64617.341732</f>
        <v>546152.66907199996</v>
      </c>
      <c r="E17" s="124">
        <f>7.427877+80000+4965.928215+24575.95361</f>
        <v>109549.309702</v>
      </c>
      <c r="F17" s="124">
        <f>24272.363505+1368.466072+100000+250000+50000+30000+19995.1+39198.538269+20060.7</f>
        <v>534895.16784599994</v>
      </c>
      <c r="G17" s="124"/>
      <c r="H17" s="124"/>
      <c r="I17" s="124"/>
      <c r="J17" s="124"/>
      <c r="K17" s="124"/>
      <c r="L17" s="124"/>
      <c r="M17" s="124"/>
      <c r="N17" s="124"/>
      <c r="O17" s="124">
        <f>443.872747+4166.1134934+100015.100071+4012.681906+150161.901569</f>
        <v>258799.66978639999</v>
      </c>
      <c r="P17" s="136">
        <f>SUM(D17:O17)</f>
        <v>1449396.8164063997</v>
      </c>
      <c r="Q17" s="132">
        <v>1449396.9148374</v>
      </c>
      <c r="R17" s="133">
        <f>Q17-P17</f>
        <v>9.843100025318563E-2</v>
      </c>
    </row>
    <row r="18" spans="1:18" s="120" customFormat="1" x14ac:dyDescent="0.25">
      <c r="A18" s="121">
        <v>5</v>
      </c>
      <c r="B18" s="131" t="s">
        <v>4</v>
      </c>
      <c r="C18" s="124"/>
      <c r="D18" s="124"/>
      <c r="E18" s="124"/>
      <c r="F18" s="124"/>
      <c r="G18" s="124"/>
      <c r="H18" s="124"/>
      <c r="I18" s="124"/>
      <c r="J18" s="124"/>
      <c r="K18" s="124"/>
      <c r="L18" s="124"/>
      <c r="M18" s="124"/>
      <c r="N18" s="124"/>
      <c r="O18" s="124">
        <f>241209.872431+28.866494</f>
        <v>241238.73892499998</v>
      </c>
      <c r="P18" s="136">
        <f t="shared" si="0"/>
        <v>241238.73892499998</v>
      </c>
      <c r="Q18" s="132">
        <v>241238.73892499998</v>
      </c>
    </row>
    <row r="19" spans="1:18" s="120" customFormat="1" x14ac:dyDescent="0.25">
      <c r="A19" s="121">
        <v>6</v>
      </c>
      <c r="B19" s="131" t="s">
        <v>5</v>
      </c>
      <c r="C19" s="124"/>
      <c r="D19" s="124"/>
      <c r="E19" s="124"/>
      <c r="F19" s="124"/>
      <c r="G19" s="124"/>
      <c r="H19" s="124"/>
      <c r="I19" s="124"/>
      <c r="J19" s="124"/>
      <c r="K19" s="124"/>
      <c r="L19" s="124"/>
      <c r="M19" s="124"/>
      <c r="N19" s="124"/>
      <c r="O19" s="124">
        <v>62471.178787999997</v>
      </c>
      <c r="P19" s="136">
        <f t="shared" si="0"/>
        <v>62471.178787999997</v>
      </c>
      <c r="Q19" s="132">
        <v>62471.178787999997</v>
      </c>
    </row>
    <row r="20" spans="1:18" s="120" customFormat="1" x14ac:dyDescent="0.25">
      <c r="A20" s="121">
        <v>7</v>
      </c>
      <c r="B20" s="131" t="s">
        <v>6</v>
      </c>
      <c r="C20" s="124"/>
      <c r="D20" s="124"/>
      <c r="E20" s="124"/>
      <c r="F20" s="124"/>
      <c r="G20" s="124"/>
      <c r="H20" s="124"/>
      <c r="I20" s="124"/>
      <c r="J20" s="124"/>
      <c r="K20" s="124"/>
      <c r="L20" s="124"/>
      <c r="M20" s="124"/>
      <c r="N20" s="124"/>
      <c r="O20" s="124">
        <f>10123841.65105+1.566815</f>
        <v>10123843.217865</v>
      </c>
      <c r="P20" s="136">
        <f t="shared" si="0"/>
        <v>10123843.217865</v>
      </c>
      <c r="Q20" s="132">
        <v>10123843.217865</v>
      </c>
    </row>
    <row r="21" spans="1:18" s="120" customFormat="1" ht="22.5" x14ac:dyDescent="0.2">
      <c r="A21" s="121">
        <v>8</v>
      </c>
      <c r="B21" s="122" t="s">
        <v>7</v>
      </c>
      <c r="C21" s="124"/>
      <c r="D21" s="124"/>
      <c r="E21" s="124"/>
      <c r="F21" s="124"/>
      <c r="G21" s="124"/>
      <c r="H21" s="124"/>
      <c r="I21" s="124"/>
      <c r="J21" s="124"/>
      <c r="K21" s="124"/>
      <c r="L21" s="124"/>
      <c r="M21" s="124"/>
      <c r="N21" s="124"/>
      <c r="O21" s="124">
        <f>1020447.584684+102132.1931512</f>
        <v>1122579.7778352001</v>
      </c>
      <c r="P21" s="136">
        <f t="shared" si="0"/>
        <v>1122579.7778352001</v>
      </c>
      <c r="Q21" s="134">
        <v>1122579.7778352001</v>
      </c>
    </row>
    <row r="22" spans="1:18" s="120" customFormat="1" x14ac:dyDescent="0.2">
      <c r="A22" s="121">
        <v>9</v>
      </c>
      <c r="B22" s="131" t="s">
        <v>8</v>
      </c>
      <c r="C22" s="124"/>
      <c r="D22" s="124">
        <v>89998.399999999994</v>
      </c>
      <c r="E22" s="124"/>
      <c r="F22" s="124">
        <v>50000</v>
      </c>
      <c r="G22" s="124"/>
      <c r="H22" s="124"/>
      <c r="I22" s="124"/>
      <c r="J22" s="124"/>
      <c r="K22" s="124"/>
      <c r="L22" s="124"/>
      <c r="M22" s="124"/>
      <c r="N22" s="124"/>
      <c r="O22" s="124">
        <f>1657204.369141+304726.8521059+18996</f>
        <v>1980927.2212469</v>
      </c>
      <c r="P22" s="136">
        <f t="shared" si="0"/>
        <v>2120925.6212468999</v>
      </c>
      <c r="Q22" s="65">
        <v>2120925.6212468999</v>
      </c>
      <c r="R22" s="132"/>
    </row>
    <row r="23" spans="1:18" s="120" customFormat="1" x14ac:dyDescent="0.2">
      <c r="A23" s="121">
        <v>10</v>
      </c>
      <c r="B23" s="131" t="s">
        <v>9</v>
      </c>
      <c r="C23" s="124"/>
      <c r="D23" s="124"/>
      <c r="E23" s="124"/>
      <c r="F23" s="124"/>
      <c r="G23" s="124"/>
      <c r="H23" s="124"/>
      <c r="I23" s="124"/>
      <c r="J23" s="124"/>
      <c r="K23" s="124"/>
      <c r="L23" s="124"/>
      <c r="M23" s="124"/>
      <c r="N23" s="124"/>
      <c r="O23" s="124">
        <f>286787.563571+6166.365911</f>
        <v>292953.92948200001</v>
      </c>
      <c r="P23" s="136">
        <f t="shared" si="0"/>
        <v>292953.92948200001</v>
      </c>
      <c r="Q23" s="65">
        <v>292953.92948200001</v>
      </c>
    </row>
    <row r="24" spans="1:18" s="120" customFormat="1" x14ac:dyDescent="0.2">
      <c r="A24" s="121">
        <v>11</v>
      </c>
      <c r="B24" s="131" t="s">
        <v>10</v>
      </c>
      <c r="C24" s="124"/>
      <c r="D24" s="124"/>
      <c r="E24" s="124"/>
      <c r="F24" s="124"/>
      <c r="G24" s="124"/>
      <c r="H24" s="124"/>
      <c r="I24" s="124"/>
      <c r="J24" s="124"/>
      <c r="K24" s="124"/>
      <c r="L24" s="124"/>
      <c r="M24" s="124"/>
      <c r="N24" s="124"/>
      <c r="O24" s="124">
        <v>2195608.7007209999</v>
      </c>
      <c r="P24" s="136">
        <f t="shared" si="0"/>
        <v>2195608.7007209999</v>
      </c>
      <c r="Q24" s="65">
        <v>2195608.7007209999</v>
      </c>
    </row>
    <row r="25" spans="1:18" s="123" customFormat="1" x14ac:dyDescent="0.2">
      <c r="A25" s="10"/>
      <c r="B25" s="10" t="s">
        <v>97</v>
      </c>
      <c r="C25" s="125"/>
      <c r="D25" s="125">
        <f>SUM(D14:D24)</f>
        <v>731883.98565699998</v>
      </c>
      <c r="E25" s="125">
        <f t="shared" ref="E25:N25" si="1">SUM(E14:E24)</f>
        <v>109549.309702</v>
      </c>
      <c r="F25" s="125">
        <f>SUM(F14:F24)</f>
        <v>604848.86784599989</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20830160.598512501</v>
      </c>
      <c r="P25" s="26">
        <f>SUM(D25:O25)</f>
        <v>22276442.761717502</v>
      </c>
      <c r="Q25" s="119">
        <f>SUM(Q14:Q24)</f>
        <v>22276442.860148501</v>
      </c>
      <c r="R25" s="126">
        <f>Q25-P25</f>
        <v>9.8430998623371124E-2</v>
      </c>
    </row>
    <row r="28" spans="1:18" x14ac:dyDescent="0.2">
      <c r="A28" s="127"/>
      <c r="B28" s="16"/>
      <c r="C28" s="16"/>
      <c r="D28" s="260" t="s">
        <v>23</v>
      </c>
      <c r="E28" s="261"/>
      <c r="F28" s="261"/>
      <c r="G28" s="261"/>
      <c r="H28" s="261"/>
      <c r="I28" s="261"/>
      <c r="J28" s="261"/>
      <c r="K28" s="261"/>
      <c r="L28" s="261"/>
      <c r="M28" s="261"/>
      <c r="N28" s="261"/>
      <c r="O28" s="261"/>
      <c r="P28" s="261"/>
    </row>
    <row r="29" spans="1:18" x14ac:dyDescent="0.2">
      <c r="A29" s="265"/>
      <c r="B29" s="262" t="s">
        <v>19</v>
      </c>
      <c r="C29" s="16"/>
      <c r="D29" s="261" t="s">
        <v>59</v>
      </c>
      <c r="E29" s="261"/>
      <c r="F29" s="261"/>
      <c r="G29" s="261"/>
      <c r="H29" s="261"/>
      <c r="I29" s="261"/>
      <c r="J29" s="261"/>
      <c r="K29" s="261"/>
      <c r="L29" s="261"/>
      <c r="M29" s="261"/>
      <c r="N29" s="261"/>
      <c r="O29" s="261"/>
      <c r="P29" s="261"/>
    </row>
    <row r="30" spans="1:18" x14ac:dyDescent="0.2">
      <c r="A30" s="266"/>
      <c r="B30" s="263"/>
      <c r="C30" s="16" t="s">
        <v>164</v>
      </c>
      <c r="D30" s="261" t="s">
        <v>233</v>
      </c>
      <c r="E30" s="261"/>
      <c r="F30" s="261"/>
      <c r="G30" s="261"/>
      <c r="H30" s="261"/>
      <c r="I30" s="261"/>
      <c r="J30" s="261"/>
      <c r="K30" s="261" t="s">
        <v>232</v>
      </c>
      <c r="L30" s="261"/>
      <c r="M30" s="261"/>
      <c r="N30" s="261"/>
      <c r="O30" s="268" t="s">
        <v>230</v>
      </c>
      <c r="P30" s="262" t="s">
        <v>231</v>
      </c>
    </row>
    <row r="31" spans="1:18" x14ac:dyDescent="0.2">
      <c r="A31" s="266"/>
      <c r="B31" s="263"/>
      <c r="C31" s="16" t="s">
        <v>167</v>
      </c>
      <c r="D31" s="16" t="s">
        <v>166</v>
      </c>
      <c r="E31" s="16" t="s">
        <v>168</v>
      </c>
      <c r="F31" s="16" t="s">
        <v>169</v>
      </c>
      <c r="G31" s="16" t="s">
        <v>170</v>
      </c>
      <c r="H31" s="16" t="s">
        <v>171</v>
      </c>
      <c r="I31" s="16" t="s">
        <v>172</v>
      </c>
      <c r="J31" s="16" t="s">
        <v>173</v>
      </c>
      <c r="K31" s="16" t="s">
        <v>174</v>
      </c>
      <c r="L31" s="16" t="s">
        <v>175</v>
      </c>
      <c r="M31" s="16" t="s">
        <v>176</v>
      </c>
      <c r="N31" s="16" t="s">
        <v>177</v>
      </c>
      <c r="O31" s="269"/>
      <c r="P31" s="263"/>
    </row>
    <row r="32" spans="1:18" x14ac:dyDescent="0.2">
      <c r="A32" s="266"/>
      <c r="B32" s="263"/>
      <c r="C32" s="16" t="s">
        <v>165</v>
      </c>
      <c r="D32" s="16" t="s">
        <v>166</v>
      </c>
      <c r="E32" s="16" t="s">
        <v>168</v>
      </c>
      <c r="F32" s="16" t="s">
        <v>169</v>
      </c>
      <c r="G32" s="16" t="s">
        <v>170</v>
      </c>
      <c r="H32" s="16" t="s">
        <v>171</v>
      </c>
      <c r="I32" s="16" t="s">
        <v>172</v>
      </c>
      <c r="J32" s="16" t="s">
        <v>173</v>
      </c>
      <c r="K32" s="16" t="s">
        <v>178</v>
      </c>
      <c r="L32" s="16" t="s">
        <v>179</v>
      </c>
      <c r="M32" s="16" t="s">
        <v>180</v>
      </c>
      <c r="N32" s="16" t="s">
        <v>181</v>
      </c>
      <c r="O32" s="269"/>
      <c r="P32" s="263"/>
    </row>
    <row r="33" spans="1:16" x14ac:dyDescent="0.2">
      <c r="A33" s="266"/>
      <c r="B33" s="263"/>
      <c r="C33" s="16" t="s">
        <v>182</v>
      </c>
      <c r="D33" s="16" t="s">
        <v>183</v>
      </c>
      <c r="E33" s="16" t="s">
        <v>184</v>
      </c>
      <c r="F33" s="16" t="s">
        <v>185</v>
      </c>
      <c r="G33" s="16" t="s">
        <v>186</v>
      </c>
      <c r="H33" s="16" t="s">
        <v>187</v>
      </c>
      <c r="I33" s="16" t="s">
        <v>188</v>
      </c>
      <c r="J33" s="16" t="s">
        <v>189</v>
      </c>
      <c r="K33" s="16" t="s">
        <v>190</v>
      </c>
      <c r="L33" s="16" t="s">
        <v>191</v>
      </c>
      <c r="M33" s="16" t="s">
        <v>192</v>
      </c>
      <c r="N33" s="16" t="s">
        <v>193</v>
      </c>
      <c r="O33" s="269"/>
      <c r="P33" s="263"/>
    </row>
    <row r="34" spans="1:16" x14ac:dyDescent="0.2">
      <c r="A34" s="266"/>
      <c r="B34" s="263"/>
      <c r="C34" s="16" t="s">
        <v>194</v>
      </c>
      <c r="D34" s="16" t="s">
        <v>195</v>
      </c>
      <c r="E34" s="16" t="s">
        <v>196</v>
      </c>
      <c r="F34" s="16" t="s">
        <v>197</v>
      </c>
      <c r="G34" s="16" t="s">
        <v>198</v>
      </c>
      <c r="H34" s="16" t="s">
        <v>199</v>
      </c>
      <c r="I34" s="16" t="s">
        <v>200</v>
      </c>
      <c r="J34" s="16" t="s">
        <v>201</v>
      </c>
      <c r="K34" s="16" t="s">
        <v>202</v>
      </c>
      <c r="L34" s="16" t="s">
        <v>203</v>
      </c>
      <c r="M34" s="16" t="s">
        <v>204</v>
      </c>
      <c r="N34" s="16" t="s">
        <v>205</v>
      </c>
      <c r="O34" s="269"/>
      <c r="P34" s="263"/>
    </row>
    <row r="35" spans="1:16" x14ac:dyDescent="0.2">
      <c r="A35" s="266"/>
      <c r="B35" s="263"/>
      <c r="C35" s="16" t="s">
        <v>206</v>
      </c>
      <c r="D35" s="16" t="s">
        <v>207</v>
      </c>
      <c r="E35" s="16" t="s">
        <v>208</v>
      </c>
      <c r="F35" s="16" t="s">
        <v>209</v>
      </c>
      <c r="G35" s="16" t="s">
        <v>210</v>
      </c>
      <c r="H35" s="16" t="s">
        <v>211</v>
      </c>
      <c r="I35" s="16" t="s">
        <v>212</v>
      </c>
      <c r="J35" s="16" t="s">
        <v>213</v>
      </c>
      <c r="K35" s="16" t="s">
        <v>214</v>
      </c>
      <c r="L35" s="16" t="s">
        <v>215</v>
      </c>
      <c r="M35" s="16" t="s">
        <v>216</v>
      </c>
      <c r="N35" s="16" t="s">
        <v>217</v>
      </c>
      <c r="O35" s="269"/>
      <c r="P35" s="263"/>
    </row>
    <row r="36" spans="1:16" x14ac:dyDescent="0.2">
      <c r="A36" s="267"/>
      <c r="B36" s="264"/>
      <c r="C36" s="16" t="s">
        <v>218</v>
      </c>
      <c r="D36" s="16" t="s">
        <v>219</v>
      </c>
      <c r="E36" s="16" t="s">
        <v>220</v>
      </c>
      <c r="F36" s="16" t="s">
        <v>221</v>
      </c>
      <c r="G36" s="16" t="s">
        <v>222</v>
      </c>
      <c r="H36" s="16" t="s">
        <v>223</v>
      </c>
      <c r="I36" s="16" t="s">
        <v>224</v>
      </c>
      <c r="J36" s="16" t="s">
        <v>225</v>
      </c>
      <c r="K36" s="16" t="s">
        <v>226</v>
      </c>
      <c r="L36" s="16" t="s">
        <v>227</v>
      </c>
      <c r="M36" s="16" t="s">
        <v>228</v>
      </c>
      <c r="N36" s="16" t="s">
        <v>229</v>
      </c>
      <c r="O36" s="270"/>
      <c r="P36" s="264"/>
    </row>
    <row r="37" spans="1:16" x14ac:dyDescent="0.2">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6" x14ac:dyDescent="0.2">
      <c r="A38" s="127">
        <v>1</v>
      </c>
      <c r="B38" s="17" t="s">
        <v>0</v>
      </c>
      <c r="C38" s="24"/>
      <c r="D38" s="24"/>
      <c r="E38" s="24"/>
      <c r="F38" s="24">
        <v>30903.187155</v>
      </c>
      <c r="G38" s="24"/>
      <c r="H38" s="24"/>
      <c r="I38" s="24"/>
      <c r="J38" s="24"/>
      <c r="K38" s="24"/>
      <c r="L38" s="24"/>
      <c r="M38" s="24"/>
      <c r="N38" s="24"/>
      <c r="O38" s="24">
        <f>40125+263405+4661332+1076854.090466+2675</f>
        <v>6044391.0904660001</v>
      </c>
      <c r="P38" s="135">
        <f>SUM(D38:O38)</f>
        <v>6075294.2776210001</v>
      </c>
    </row>
    <row r="39" spans="1:16" x14ac:dyDescent="0.2">
      <c r="A39" s="127">
        <v>2</v>
      </c>
      <c r="B39" s="17" t="s">
        <v>1</v>
      </c>
      <c r="C39" s="24"/>
      <c r="D39" s="24">
        <v>21000</v>
      </c>
      <c r="E39" s="24"/>
      <c r="F39" s="24">
        <f>5008.973633+10000+10000</f>
        <v>25008.973633000001</v>
      </c>
      <c r="G39" s="24"/>
      <c r="H39" s="24"/>
      <c r="I39" s="24"/>
      <c r="J39" s="24"/>
      <c r="K39" s="24"/>
      <c r="L39" s="24"/>
      <c r="M39" s="24"/>
      <c r="N39" s="24"/>
      <c r="O39" s="24">
        <f>89718.651019+269036.0274535</f>
        <v>358754.6784725</v>
      </c>
      <c r="P39" s="135">
        <f t="shared" ref="P39:P48" si="2">SUM(D39:O39)</f>
        <v>404763.65210549999</v>
      </c>
    </row>
    <row r="40" spans="1:16" ht="22.5" x14ac:dyDescent="0.2">
      <c r="A40" s="121">
        <v>3</v>
      </c>
      <c r="B40" s="122" t="s">
        <v>2</v>
      </c>
      <c r="C40" s="124"/>
      <c r="D40" s="124"/>
      <c r="E40" s="124"/>
      <c r="F40" s="124"/>
      <c r="G40" s="124"/>
      <c r="H40" s="124"/>
      <c r="I40" s="124"/>
      <c r="J40" s="124"/>
      <c r="K40" s="124"/>
      <c r="L40" s="124"/>
      <c r="M40" s="124"/>
      <c r="N40" s="124"/>
      <c r="O40" s="124"/>
      <c r="P40" s="135">
        <f t="shared" si="2"/>
        <v>0</v>
      </c>
    </row>
    <row r="41" spans="1:16" x14ac:dyDescent="0.2">
      <c r="A41" s="127">
        <v>4</v>
      </c>
      <c r="B41" s="17" t="s">
        <v>3</v>
      </c>
      <c r="C41" s="24"/>
      <c r="D41" s="24">
        <f>25000+20000+10719.490005+421212.991831</f>
        <v>476932.48183599999</v>
      </c>
      <c r="E41" s="24">
        <f>64699.2229999999+13954.209521+7.427877+31951.386205+150000+150000</f>
        <v>410612.24660299992</v>
      </c>
      <c r="F41" s="24">
        <f>30000+40000+19495.585779+10000+369.04912+64993.94577</f>
        <v>164858.58066899999</v>
      </c>
      <c r="G41" s="24">
        <v>48245.203404</v>
      </c>
      <c r="H41" s="24"/>
      <c r="I41" s="24"/>
      <c r="J41" s="24"/>
      <c r="K41" s="24"/>
      <c r="L41" s="24"/>
      <c r="M41" s="24"/>
      <c r="N41" s="24"/>
      <c r="O41" s="24">
        <f>26.999307+15.783937+53114.909942+31.5334718+173312+100000</f>
        <v>326501.22665780003</v>
      </c>
      <c r="P41" s="135">
        <f>SUM(D41:O41)</f>
        <v>1427149.7391698002</v>
      </c>
    </row>
    <row r="42" spans="1:16" x14ac:dyDescent="0.2">
      <c r="A42" s="127">
        <v>5</v>
      </c>
      <c r="B42" s="17" t="s">
        <v>4</v>
      </c>
      <c r="C42" s="24"/>
      <c r="D42" s="24"/>
      <c r="E42" s="24"/>
      <c r="F42" s="24"/>
      <c r="G42" s="24"/>
      <c r="H42" s="24"/>
      <c r="I42" s="24"/>
      <c r="J42" s="24"/>
      <c r="K42" s="24"/>
      <c r="L42" s="24"/>
      <c r="M42" s="24"/>
      <c r="N42" s="24"/>
      <c r="O42" s="24">
        <f>238204.590127+28.360011</f>
        <v>238232.95013800001</v>
      </c>
      <c r="P42" s="135">
        <f t="shared" si="2"/>
        <v>238232.95013800001</v>
      </c>
    </row>
    <row r="43" spans="1:16" x14ac:dyDescent="0.2">
      <c r="A43" s="127">
        <v>6</v>
      </c>
      <c r="B43" s="17" t="s">
        <v>5</v>
      </c>
      <c r="C43" s="24"/>
      <c r="D43" s="24"/>
      <c r="E43" s="24"/>
      <c r="F43" s="24"/>
      <c r="G43" s="24"/>
      <c r="H43" s="24"/>
      <c r="I43" s="24"/>
      <c r="J43" s="24"/>
      <c r="K43" s="24"/>
      <c r="L43" s="24"/>
      <c r="M43" s="24"/>
      <c r="N43" s="24"/>
      <c r="O43" s="24">
        <f>8322.403919+129.8254418</f>
        <v>8452.2293608</v>
      </c>
      <c r="P43" s="135">
        <f t="shared" si="2"/>
        <v>8452.2293608</v>
      </c>
    </row>
    <row r="44" spans="1:16" x14ac:dyDescent="0.2">
      <c r="A44" s="127">
        <v>7</v>
      </c>
      <c r="B44" s="17" t="s">
        <v>6</v>
      </c>
      <c r="C44" s="24"/>
      <c r="D44" s="24"/>
      <c r="E44" s="24"/>
      <c r="F44" s="24"/>
      <c r="G44" s="24"/>
      <c r="H44" s="24"/>
      <c r="I44" s="24"/>
      <c r="J44" s="24"/>
      <c r="K44" s="24"/>
      <c r="L44" s="24"/>
      <c r="M44" s="24"/>
      <c r="N44" s="24"/>
      <c r="O44" s="24">
        <f>9604132.947623+100.429409</f>
        <v>9604233.3770319987</v>
      </c>
      <c r="P44" s="135">
        <f t="shared" si="2"/>
        <v>9604233.3770319987</v>
      </c>
    </row>
    <row r="45" spans="1:16" ht="22.5" x14ac:dyDescent="0.2">
      <c r="A45" s="121">
        <v>8</v>
      </c>
      <c r="B45" s="122" t="s">
        <v>7</v>
      </c>
      <c r="C45" s="124"/>
      <c r="D45" s="124"/>
      <c r="E45" s="124"/>
      <c r="F45" s="124"/>
      <c r="G45" s="124"/>
      <c r="H45" s="124"/>
      <c r="I45" s="124"/>
      <c r="J45" s="124"/>
      <c r="K45" s="124"/>
      <c r="L45" s="124"/>
      <c r="M45" s="124"/>
      <c r="N45" s="124"/>
      <c r="O45" s="124">
        <f>918566.371532+111669.38948</f>
        <v>1030235.761012</v>
      </c>
      <c r="P45" s="136">
        <f t="shared" si="2"/>
        <v>1030235.761012</v>
      </c>
    </row>
    <row r="46" spans="1:16" x14ac:dyDescent="0.2">
      <c r="A46" s="127">
        <v>9</v>
      </c>
      <c r="B46" s="17" t="s">
        <v>8</v>
      </c>
      <c r="C46" s="24"/>
      <c r="D46" s="24">
        <v>40000</v>
      </c>
      <c r="E46" s="24"/>
      <c r="F46" s="24">
        <v>35000</v>
      </c>
      <c r="G46" s="24"/>
      <c r="H46" s="24"/>
      <c r="I46" s="24"/>
      <c r="J46" s="24"/>
      <c r="K46" s="24"/>
      <c r="L46" s="24"/>
      <c r="M46" s="24"/>
      <c r="N46" s="24"/>
      <c r="O46" s="24">
        <f>1421523.029197+338093.3390376</f>
        <v>1759616.3682345999</v>
      </c>
      <c r="P46" s="135">
        <f t="shared" si="2"/>
        <v>1834616.3682345999</v>
      </c>
    </row>
    <row r="47" spans="1:16" x14ac:dyDescent="0.2">
      <c r="A47" s="127">
        <v>10</v>
      </c>
      <c r="B47" s="17" t="s">
        <v>9</v>
      </c>
      <c r="C47" s="24"/>
      <c r="D47" s="24"/>
      <c r="E47" s="24"/>
      <c r="F47" s="24"/>
      <c r="G47" s="24"/>
      <c r="H47" s="24"/>
      <c r="I47" s="24"/>
      <c r="J47" s="24"/>
      <c r="K47" s="24"/>
      <c r="L47" s="24"/>
      <c r="M47" s="24"/>
      <c r="N47" s="24"/>
      <c r="O47" s="24">
        <f>430274.640386+36103.4884075</f>
        <v>466378.12879350001</v>
      </c>
      <c r="P47" s="135">
        <f t="shared" si="2"/>
        <v>466378.12879350001</v>
      </c>
    </row>
    <row r="48" spans="1:16" x14ac:dyDescent="0.2">
      <c r="A48" s="127">
        <v>11</v>
      </c>
      <c r="B48" s="17" t="s">
        <v>10</v>
      </c>
      <c r="C48" s="24"/>
      <c r="D48" s="24"/>
      <c r="E48" s="24"/>
      <c r="F48" s="24"/>
      <c r="G48" s="24"/>
      <c r="H48" s="24"/>
      <c r="I48" s="24"/>
      <c r="J48" s="24"/>
      <c r="K48" s="24"/>
      <c r="L48" s="24"/>
      <c r="M48" s="24"/>
      <c r="N48" s="24"/>
      <c r="O48" s="24">
        <v>2250421.8545230003</v>
      </c>
      <c r="P48" s="135">
        <f t="shared" si="2"/>
        <v>2250421.8545230003</v>
      </c>
    </row>
    <row r="49" spans="1:16" x14ac:dyDescent="0.2">
      <c r="A49" s="10"/>
      <c r="B49" s="10" t="s">
        <v>97</v>
      </c>
      <c r="C49" s="125"/>
      <c r="D49" s="125">
        <f>SUM(D38:D48)</f>
        <v>537932.48183599999</v>
      </c>
      <c r="E49" s="125">
        <f t="shared" ref="E49:N49" si="3">SUM(E38:E48)</f>
        <v>410612.24660299992</v>
      </c>
      <c r="F49" s="125">
        <f>SUM(F38:F48)</f>
        <v>255770.741457</v>
      </c>
      <c r="G49" s="125">
        <f t="shared" si="3"/>
        <v>48245.203404</v>
      </c>
      <c r="H49" s="125">
        <f t="shared" si="3"/>
        <v>0</v>
      </c>
      <c r="I49" s="125">
        <f t="shared" si="3"/>
        <v>0</v>
      </c>
      <c r="J49" s="125">
        <f t="shared" si="3"/>
        <v>0</v>
      </c>
      <c r="K49" s="125">
        <f t="shared" si="3"/>
        <v>0</v>
      </c>
      <c r="L49" s="125">
        <f t="shared" si="3"/>
        <v>0</v>
      </c>
      <c r="M49" s="125">
        <f t="shared" si="3"/>
        <v>0</v>
      </c>
      <c r="N49" s="125">
        <f t="shared" si="3"/>
        <v>0</v>
      </c>
      <c r="O49" s="125">
        <f>SUM(O38:O48)</f>
        <v>22087217.6646902</v>
      </c>
      <c r="P49" s="26">
        <f>SUM(D49:O49)</f>
        <v>23339778.337990202</v>
      </c>
    </row>
    <row r="52" spans="1:16" x14ac:dyDescent="0.2">
      <c r="A52" s="6" t="s">
        <v>236</v>
      </c>
    </row>
    <row r="53" spans="1:16" x14ac:dyDescent="0.2">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 right="0.7" top="0.75" bottom="0.75" header="0.3" footer="0.3"/>
  <ignoredErrors>
    <ignoredError sqref="A13:P13 A37:P37"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
  <sheetViews>
    <sheetView showGridLines="0" workbookViewId="0">
      <selection activeCell="O44" sqref="O44"/>
    </sheetView>
  </sheetViews>
  <sheetFormatPr defaultColWidth="8.7109375" defaultRowHeight="11.25" x14ac:dyDescent="0.2"/>
  <cols>
    <col min="1" max="1" width="3.85546875" style="6" customWidth="1"/>
    <col min="2" max="2" width="3.140625" style="22" bestFit="1" customWidth="1"/>
    <col min="3" max="3" width="53.85546875" style="6" bestFit="1" customWidth="1"/>
    <col min="4" max="5" width="10.42578125" style="6" bestFit="1" customWidth="1"/>
    <col min="6" max="6" width="7.42578125" style="6" bestFit="1" customWidth="1"/>
    <col min="7" max="7" width="11" style="6" bestFit="1" customWidth="1"/>
    <col min="8" max="8" width="6" style="6" bestFit="1" customWidth="1"/>
    <col min="9" max="9" width="18.140625" style="6" bestFit="1" customWidth="1"/>
    <col min="10" max="10" width="9.7109375" style="6" bestFit="1" customWidth="1"/>
    <col min="11" max="12" width="7.42578125" style="6" bestFit="1" customWidth="1"/>
    <col min="13" max="13" width="10.140625" style="6" bestFit="1" customWidth="1"/>
    <col min="14" max="14" width="5.42578125" style="6" bestFit="1" customWidth="1"/>
    <col min="15" max="15" width="17.140625" style="6" bestFit="1" customWidth="1"/>
    <col min="16" max="16384" width="8.7109375" style="6"/>
  </cols>
  <sheetData>
    <row r="1" spans="1:15" x14ac:dyDescent="0.2">
      <c r="A1" s="6" t="s">
        <v>126</v>
      </c>
      <c r="B1" s="100" t="s">
        <v>127</v>
      </c>
    </row>
    <row r="2" spans="1:15" x14ac:dyDescent="0.2">
      <c r="B2" s="3" t="s">
        <v>17</v>
      </c>
      <c r="C2" s="6" t="s">
        <v>16</v>
      </c>
      <c r="E2" s="6">
        <v>195183.26678199999</v>
      </c>
    </row>
    <row r="3" spans="1:15" ht="12" thickBot="1" x14ac:dyDescent="0.25">
      <c r="B3" s="49"/>
      <c r="C3" s="49"/>
      <c r="D3" s="49"/>
      <c r="E3" s="49"/>
      <c r="F3" s="49"/>
      <c r="G3" s="49"/>
      <c r="H3" s="49"/>
      <c r="I3" s="49"/>
      <c r="J3" s="49"/>
      <c r="K3" s="49"/>
      <c r="L3" s="49"/>
      <c r="M3" s="49"/>
      <c r="N3" s="49"/>
      <c r="O3" s="208" t="s">
        <v>57</v>
      </c>
    </row>
    <row r="4" spans="1:15" ht="12" thickBot="1" x14ac:dyDescent="0.25">
      <c r="B4" s="285" t="s">
        <v>18</v>
      </c>
      <c r="C4" s="288" t="s">
        <v>19</v>
      </c>
      <c r="D4" s="291" t="s">
        <v>245</v>
      </c>
      <c r="E4" s="292"/>
      <c r="F4" s="292"/>
      <c r="G4" s="292"/>
      <c r="H4" s="292"/>
      <c r="I4" s="293"/>
      <c r="J4" s="291" t="s">
        <v>243</v>
      </c>
      <c r="K4" s="292"/>
      <c r="L4" s="292"/>
      <c r="M4" s="292"/>
      <c r="N4" s="292"/>
      <c r="O4" s="293"/>
    </row>
    <row r="5" spans="1:15" ht="12" thickBot="1" x14ac:dyDescent="0.25">
      <c r="B5" s="286"/>
      <c r="C5" s="289"/>
      <c r="D5" s="298" t="s">
        <v>59</v>
      </c>
      <c r="E5" s="300" t="s">
        <v>62</v>
      </c>
      <c r="F5" s="292"/>
      <c r="G5" s="292"/>
      <c r="H5" s="293"/>
      <c r="I5" s="296" t="s">
        <v>61</v>
      </c>
      <c r="J5" s="294" t="s">
        <v>59</v>
      </c>
      <c r="K5" s="292" t="s">
        <v>60</v>
      </c>
      <c r="L5" s="292"/>
      <c r="M5" s="292"/>
      <c r="N5" s="293"/>
      <c r="O5" s="294" t="s">
        <v>61</v>
      </c>
    </row>
    <row r="6" spans="1:15" ht="12" thickBot="1" x14ac:dyDescent="0.25">
      <c r="B6" s="287"/>
      <c r="C6" s="290"/>
      <c r="D6" s="299"/>
      <c r="E6" s="28" t="s">
        <v>63</v>
      </c>
      <c r="F6" s="28" t="s">
        <v>64</v>
      </c>
      <c r="G6" s="28" t="s">
        <v>65</v>
      </c>
      <c r="H6" s="28" t="s">
        <v>25</v>
      </c>
      <c r="I6" s="297"/>
      <c r="J6" s="295"/>
      <c r="K6" s="28" t="s">
        <v>63</v>
      </c>
      <c r="L6" s="28" t="s">
        <v>64</v>
      </c>
      <c r="M6" s="28" t="s">
        <v>65</v>
      </c>
      <c r="N6" s="28" t="s">
        <v>25</v>
      </c>
      <c r="O6" s="295"/>
    </row>
    <row r="7" spans="1:15" s="43" customFormat="1" ht="10.5" customHeight="1" thickBot="1" x14ac:dyDescent="0.3">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
      <c r="B8" s="29" t="s">
        <v>20</v>
      </c>
      <c r="C8" s="30" t="s">
        <v>21</v>
      </c>
      <c r="D8" s="31"/>
      <c r="E8" s="31"/>
      <c r="F8" s="31"/>
      <c r="G8" s="31"/>
      <c r="H8" s="31"/>
      <c r="I8" s="32"/>
      <c r="J8" s="31"/>
      <c r="K8" s="31"/>
      <c r="L8" s="31"/>
      <c r="M8" s="31"/>
      <c r="N8" s="31"/>
      <c r="O8" s="31"/>
    </row>
    <row r="9" spans="1:15" x14ac:dyDescent="0.2">
      <c r="B9" s="33">
        <v>1</v>
      </c>
      <c r="C9" s="34" t="s">
        <v>0</v>
      </c>
      <c r="D9" s="44">
        <v>4127132.797032</v>
      </c>
      <c r="E9" s="44">
        <v>0</v>
      </c>
      <c r="F9" s="44">
        <v>0</v>
      </c>
      <c r="G9" s="44">
        <v>0</v>
      </c>
      <c r="H9" s="44">
        <v>0</v>
      </c>
      <c r="I9" s="44">
        <f>D9-E9-F9-G9-H9</f>
        <v>4127132.797032</v>
      </c>
      <c r="J9" s="44">
        <v>4912588.1720130006</v>
      </c>
      <c r="K9" s="44">
        <v>0</v>
      </c>
      <c r="L9" s="44">
        <v>0</v>
      </c>
      <c r="M9" s="44">
        <v>0</v>
      </c>
      <c r="N9" s="44">
        <v>0</v>
      </c>
      <c r="O9" s="44">
        <f>J9-K9-L9-M9-N9</f>
        <v>4912588.1720130006</v>
      </c>
    </row>
    <row r="10" spans="1:15" x14ac:dyDescent="0.2">
      <c r="B10" s="33">
        <v>2</v>
      </c>
      <c r="C10" s="34" t="s">
        <v>1</v>
      </c>
      <c r="D10" s="44">
        <v>34401.284478000001</v>
      </c>
      <c r="E10" s="44">
        <v>0</v>
      </c>
      <c r="F10" s="44">
        <v>0</v>
      </c>
      <c r="G10" s="44">
        <v>0</v>
      </c>
      <c r="H10" s="44">
        <v>0</v>
      </c>
      <c r="I10" s="44">
        <f t="shared" ref="I10:I19" si="0">D10-E10-F10-G10-H10</f>
        <v>34401.284478000001</v>
      </c>
      <c r="J10" s="44">
        <v>64905.934932000004</v>
      </c>
      <c r="K10" s="44">
        <v>0</v>
      </c>
      <c r="L10" s="44">
        <v>0</v>
      </c>
      <c r="M10" s="44">
        <v>0</v>
      </c>
      <c r="N10" s="44">
        <v>0</v>
      </c>
      <c r="O10" s="44">
        <f t="shared" ref="O10:O19" si="1">J10-K10-L10-M10-N10</f>
        <v>64905.934932000004</v>
      </c>
    </row>
    <row r="11" spans="1:15" x14ac:dyDescent="0.2">
      <c r="B11" s="33">
        <v>3</v>
      </c>
      <c r="C11" s="34" t="s">
        <v>2</v>
      </c>
      <c r="D11" s="44">
        <v>0</v>
      </c>
      <c r="E11" s="44">
        <v>0</v>
      </c>
      <c r="F11" s="44">
        <v>0</v>
      </c>
      <c r="G11" s="44">
        <v>0</v>
      </c>
      <c r="H11" s="44">
        <v>0</v>
      </c>
      <c r="I11" s="44">
        <f t="shared" si="0"/>
        <v>0</v>
      </c>
      <c r="J11" s="44">
        <v>463.74705499999999</v>
      </c>
      <c r="K11" s="44">
        <v>0</v>
      </c>
      <c r="L11" s="44">
        <v>0</v>
      </c>
      <c r="M11" s="44">
        <v>0</v>
      </c>
      <c r="N11" s="44">
        <v>0</v>
      </c>
      <c r="O11" s="44">
        <f t="shared" si="1"/>
        <v>463.74705499999999</v>
      </c>
    </row>
    <row r="12" spans="1:15" x14ac:dyDescent="0.2">
      <c r="B12" s="33">
        <v>4</v>
      </c>
      <c r="C12" s="34" t="s">
        <v>68</v>
      </c>
      <c r="D12" s="44">
        <f>2612848.923874+346603.773477</f>
        <v>2959452.6973510003</v>
      </c>
      <c r="E12" s="44">
        <v>0</v>
      </c>
      <c r="F12" s="44">
        <v>0</v>
      </c>
      <c r="G12" s="44">
        <v>0</v>
      </c>
      <c r="H12" s="44">
        <v>0</v>
      </c>
      <c r="I12" s="44">
        <f t="shared" si="0"/>
        <v>2959452.6973510003</v>
      </c>
      <c r="J12" s="44">
        <f>3130121.900622+308563.453354</f>
        <v>3438685.3539760001</v>
      </c>
      <c r="K12" s="44">
        <v>0</v>
      </c>
      <c r="L12" s="44">
        <v>0</v>
      </c>
      <c r="M12" s="44">
        <v>0</v>
      </c>
      <c r="N12" s="44">
        <v>0</v>
      </c>
      <c r="O12" s="44">
        <f t="shared" si="1"/>
        <v>3438685.3539760001</v>
      </c>
    </row>
    <row r="13" spans="1:15" x14ac:dyDescent="0.2">
      <c r="B13" s="33">
        <v>5</v>
      </c>
      <c r="C13" s="34" t="s">
        <v>4</v>
      </c>
      <c r="D13" s="44">
        <v>561463.357601</v>
      </c>
      <c r="E13" s="44">
        <v>0</v>
      </c>
      <c r="F13" s="44">
        <v>0</v>
      </c>
      <c r="G13" s="44">
        <v>0</v>
      </c>
      <c r="H13" s="44">
        <v>0</v>
      </c>
      <c r="I13" s="44">
        <f t="shared" si="0"/>
        <v>561463.357601</v>
      </c>
      <c r="J13" s="44">
        <v>371291.10466399998</v>
      </c>
      <c r="K13" s="44">
        <v>0</v>
      </c>
      <c r="L13" s="44">
        <v>0</v>
      </c>
      <c r="M13" s="44">
        <v>0</v>
      </c>
      <c r="N13" s="44">
        <v>0</v>
      </c>
      <c r="O13" s="44">
        <f t="shared" si="1"/>
        <v>371291.10466399998</v>
      </c>
    </row>
    <row r="14" spans="1:15" x14ac:dyDescent="0.2">
      <c r="B14" s="33">
        <v>6</v>
      </c>
      <c r="C14" s="34" t="s">
        <v>5</v>
      </c>
      <c r="D14" s="44">
        <v>118689.607485</v>
      </c>
      <c r="E14" s="44">
        <v>0</v>
      </c>
      <c r="F14" s="44">
        <v>0</v>
      </c>
      <c r="G14" s="44">
        <v>0</v>
      </c>
      <c r="H14" s="44">
        <v>0</v>
      </c>
      <c r="I14" s="44">
        <f t="shared" si="0"/>
        <v>118689.607485</v>
      </c>
      <c r="J14" s="44">
        <v>106468.491033</v>
      </c>
      <c r="K14" s="44">
        <v>0</v>
      </c>
      <c r="L14" s="44">
        <v>0</v>
      </c>
      <c r="M14" s="44">
        <v>0</v>
      </c>
      <c r="N14" s="44">
        <v>0</v>
      </c>
      <c r="O14" s="44">
        <f t="shared" si="1"/>
        <v>106468.491033</v>
      </c>
    </row>
    <row r="15" spans="1:15" x14ac:dyDescent="0.2">
      <c r="B15" s="33">
        <v>7</v>
      </c>
      <c r="C15" s="34" t="s">
        <v>69</v>
      </c>
      <c r="D15" s="44">
        <v>11336115.629386</v>
      </c>
      <c r="E15" s="44">
        <v>3670.9811800000002</v>
      </c>
      <c r="F15" s="44">
        <v>0</v>
      </c>
      <c r="G15" s="44">
        <v>0</v>
      </c>
      <c r="H15" s="44">
        <v>0</v>
      </c>
      <c r="I15" s="44">
        <f>D15-E15-F15-G15-H15</f>
        <v>11332444.648206001</v>
      </c>
      <c r="J15" s="44">
        <v>10707318.12713</v>
      </c>
      <c r="K15" s="44">
        <v>2447.015731</v>
      </c>
      <c r="L15" s="44">
        <v>0</v>
      </c>
      <c r="M15" s="44">
        <v>4.7039879999999998</v>
      </c>
      <c r="N15" s="44">
        <v>0</v>
      </c>
      <c r="O15" s="44">
        <f t="shared" si="1"/>
        <v>10704866.407411</v>
      </c>
    </row>
    <row r="16" spans="1:15" x14ac:dyDescent="0.2">
      <c r="B16" s="33">
        <v>8</v>
      </c>
      <c r="C16" s="34" t="s">
        <v>70</v>
      </c>
      <c r="D16" s="44">
        <v>928462.76902199991</v>
      </c>
      <c r="E16" s="44">
        <v>8113.4985589999997</v>
      </c>
      <c r="F16" s="44">
        <v>0</v>
      </c>
      <c r="G16" s="44">
        <v>34596.450302999998</v>
      </c>
      <c r="H16" s="44">
        <v>0</v>
      </c>
      <c r="I16" s="44">
        <f>D16-E16-F16-G16-H16</f>
        <v>885752.82015999989</v>
      </c>
      <c r="J16" s="44">
        <v>1047830.090904</v>
      </c>
      <c r="K16" s="44">
        <v>7457.1763639999999</v>
      </c>
      <c r="L16" s="44">
        <v>0</v>
      </c>
      <c r="M16" s="44">
        <v>62694.728048999998</v>
      </c>
      <c r="N16" s="44">
        <v>0</v>
      </c>
      <c r="O16" s="44">
        <f>J16-K16-L16-M16-N16</f>
        <v>977678.186491</v>
      </c>
    </row>
    <row r="17" spans="2:15" x14ac:dyDescent="0.2">
      <c r="B17" s="33">
        <v>9</v>
      </c>
      <c r="C17" s="34" t="s">
        <v>8</v>
      </c>
      <c r="D17" s="44">
        <v>4276410.9005279997</v>
      </c>
      <c r="E17" s="44">
        <v>25819.927685999999</v>
      </c>
      <c r="F17" s="44">
        <v>0</v>
      </c>
      <c r="G17" s="44">
        <v>24.75</v>
      </c>
      <c r="H17" s="44">
        <v>0</v>
      </c>
      <c r="I17" s="44">
        <f t="shared" si="0"/>
        <v>4250566.2228419995</v>
      </c>
      <c r="J17" s="44">
        <v>2490957.3106629997</v>
      </c>
      <c r="K17" s="44">
        <v>18560.834605</v>
      </c>
      <c r="L17" s="44">
        <v>0</v>
      </c>
      <c r="M17" s="44">
        <v>0</v>
      </c>
      <c r="N17" s="44">
        <v>0</v>
      </c>
      <c r="O17" s="44">
        <f t="shared" si="1"/>
        <v>2472396.4760579998</v>
      </c>
    </row>
    <row r="18" spans="2:15" x14ac:dyDescent="0.2">
      <c r="B18" s="33">
        <v>10</v>
      </c>
      <c r="C18" s="34" t="s">
        <v>9</v>
      </c>
      <c r="D18" s="44">
        <v>243376.31171200002</v>
      </c>
      <c r="E18" s="44">
        <v>69.7</v>
      </c>
      <c r="F18" s="44">
        <v>0</v>
      </c>
      <c r="G18" s="44">
        <v>232.64718999999999</v>
      </c>
      <c r="H18" s="44">
        <v>0</v>
      </c>
      <c r="I18" s="44">
        <f t="shared" si="0"/>
        <v>243073.96452200002</v>
      </c>
      <c r="J18" s="44">
        <v>308025.47320100002</v>
      </c>
      <c r="K18" s="44">
        <v>20.630958</v>
      </c>
      <c r="L18" s="44">
        <v>0</v>
      </c>
      <c r="M18" s="44">
        <v>558.74902199999997</v>
      </c>
      <c r="N18" s="44">
        <v>0</v>
      </c>
      <c r="O18" s="44">
        <f t="shared" si="1"/>
        <v>307446.09322099999</v>
      </c>
    </row>
    <row r="19" spans="2:15" x14ac:dyDescent="0.2">
      <c r="B19" s="33">
        <v>11</v>
      </c>
      <c r="C19" s="34" t="s">
        <v>10</v>
      </c>
      <c r="D19" s="44">
        <v>2331520.313999</v>
      </c>
      <c r="E19" s="44">
        <v>0</v>
      </c>
      <c r="F19" s="44">
        <v>0</v>
      </c>
      <c r="G19" s="44">
        <v>0</v>
      </c>
      <c r="H19" s="44">
        <v>0</v>
      </c>
      <c r="I19" s="44">
        <f t="shared" si="0"/>
        <v>2331520.313999</v>
      </c>
      <c r="J19" s="44">
        <v>2273809.9476290001</v>
      </c>
      <c r="K19" s="44">
        <v>0</v>
      </c>
      <c r="L19" s="44">
        <v>0</v>
      </c>
      <c r="M19" s="44">
        <v>0</v>
      </c>
      <c r="N19" s="44">
        <v>0</v>
      </c>
      <c r="O19" s="44">
        <f t="shared" si="1"/>
        <v>2273809.9476290001</v>
      </c>
    </row>
    <row r="20" spans="2:15" s="9" customFormat="1" x14ac:dyDescent="0.2">
      <c r="B20" s="36"/>
      <c r="C20" s="35" t="s">
        <v>51</v>
      </c>
      <c r="D20" s="45">
        <f>SUM(D9:D19)</f>
        <v>26917025.668593999</v>
      </c>
      <c r="E20" s="45">
        <f t="shared" ref="E20:H20" si="2">SUM(E9:E19)</f>
        <v>37674.107424999995</v>
      </c>
      <c r="F20" s="44">
        <v>0</v>
      </c>
      <c r="G20" s="45">
        <f t="shared" si="2"/>
        <v>34853.847493000001</v>
      </c>
      <c r="H20" s="45">
        <f t="shared" si="2"/>
        <v>0</v>
      </c>
      <c r="I20" s="45">
        <f>SUM(I9:I19)</f>
        <v>26844497.713676006</v>
      </c>
      <c r="J20" s="45">
        <f>SUM(J9:J19)</f>
        <v>25722343.753200002</v>
      </c>
      <c r="K20" s="45">
        <f t="shared" ref="K20:O20" si="3">SUM(K9:K19)</f>
        <v>28485.657658000004</v>
      </c>
      <c r="L20" s="45">
        <f t="shared" si="3"/>
        <v>0</v>
      </c>
      <c r="M20" s="45">
        <f t="shared" si="3"/>
        <v>63258.181058999995</v>
      </c>
      <c r="N20" s="45">
        <f t="shared" si="3"/>
        <v>0</v>
      </c>
      <c r="O20" s="45">
        <f t="shared" si="3"/>
        <v>25630599.914483003</v>
      </c>
    </row>
    <row r="21" spans="2:15" x14ac:dyDescent="0.2">
      <c r="B21" s="33"/>
      <c r="C21" s="34"/>
      <c r="D21" s="44"/>
      <c r="E21" s="44"/>
      <c r="F21" s="44"/>
      <c r="G21" s="44"/>
      <c r="H21" s="44"/>
      <c r="I21" s="50"/>
      <c r="J21" s="34"/>
      <c r="K21" s="34"/>
      <c r="L21" s="34"/>
      <c r="M21" s="34"/>
      <c r="N21" s="34"/>
      <c r="O21" s="34"/>
    </row>
    <row r="22" spans="2:15" x14ac:dyDescent="0.2">
      <c r="B22" s="36" t="s">
        <v>52</v>
      </c>
      <c r="C22" s="37" t="s">
        <v>71</v>
      </c>
      <c r="D22" s="44"/>
      <c r="E22" s="44"/>
      <c r="F22" s="44"/>
      <c r="G22" s="44"/>
      <c r="H22" s="44"/>
      <c r="I22" s="50"/>
      <c r="J22" s="34"/>
      <c r="K22" s="34"/>
      <c r="L22" s="34"/>
      <c r="M22" s="34"/>
      <c r="N22" s="34"/>
      <c r="O22" s="34"/>
    </row>
    <row r="23" spans="2:15" x14ac:dyDescent="0.2">
      <c r="B23" s="33">
        <v>1</v>
      </c>
      <c r="C23" s="34" t="s">
        <v>0</v>
      </c>
      <c r="D23" s="44">
        <v>20191.167868000004</v>
      </c>
      <c r="E23" s="44">
        <v>0</v>
      </c>
      <c r="F23" s="44">
        <v>0</v>
      </c>
      <c r="G23" s="44">
        <v>0</v>
      </c>
      <c r="H23" s="44">
        <v>0</v>
      </c>
      <c r="I23" s="44">
        <f t="shared" ref="I23:I32" si="4">D23-E23-F23-G23-H23</f>
        <v>20191.167868000004</v>
      </c>
      <c r="J23" s="44">
        <v>32.611588599999997</v>
      </c>
      <c r="K23" s="44">
        <v>0</v>
      </c>
      <c r="L23" s="44">
        <v>0</v>
      </c>
      <c r="M23" s="44">
        <v>0</v>
      </c>
      <c r="N23" s="44">
        <v>0</v>
      </c>
      <c r="O23" s="44">
        <f t="shared" ref="O23:O32" si="5">J23-K23-L23-M23-N23</f>
        <v>32.611588599999997</v>
      </c>
    </row>
    <row r="24" spans="2:15" x14ac:dyDescent="0.2">
      <c r="B24" s="33">
        <v>2</v>
      </c>
      <c r="C24" s="34" t="s">
        <v>1</v>
      </c>
      <c r="D24" s="44">
        <v>1486.3535344000002</v>
      </c>
      <c r="E24" s="44">
        <v>0</v>
      </c>
      <c r="F24" s="44">
        <v>1047.55043</v>
      </c>
      <c r="G24" s="44">
        <v>0</v>
      </c>
      <c r="H24" s="44">
        <v>0</v>
      </c>
      <c r="I24" s="44">
        <f t="shared" si="4"/>
        <v>438.80310440000017</v>
      </c>
      <c r="J24" s="44">
        <v>4740.2160274999997</v>
      </c>
      <c r="K24" s="44">
        <v>163.83636849999999</v>
      </c>
      <c r="L24" s="44">
        <v>4351.7862789999999</v>
      </c>
      <c r="M24" s="44">
        <v>0</v>
      </c>
      <c r="N24" s="44">
        <v>0</v>
      </c>
      <c r="O24" s="44">
        <f t="shared" si="5"/>
        <v>224.59337999999934</v>
      </c>
    </row>
    <row r="25" spans="2:15" x14ac:dyDescent="0.2">
      <c r="B25" s="33">
        <v>3</v>
      </c>
      <c r="C25" s="34" t="s">
        <v>2</v>
      </c>
      <c r="D25" s="44">
        <v>0</v>
      </c>
      <c r="E25" s="44">
        <v>0</v>
      </c>
      <c r="F25" s="44">
        <v>0</v>
      </c>
      <c r="G25" s="44">
        <v>0</v>
      </c>
      <c r="H25" s="44">
        <v>0</v>
      </c>
      <c r="I25" s="44">
        <f t="shared" si="4"/>
        <v>0</v>
      </c>
      <c r="J25" s="44">
        <v>0</v>
      </c>
      <c r="K25" s="44">
        <v>0</v>
      </c>
      <c r="L25" s="44"/>
      <c r="M25" s="44">
        <v>0</v>
      </c>
      <c r="N25" s="44">
        <v>0</v>
      </c>
      <c r="O25" s="44">
        <f t="shared" si="5"/>
        <v>0</v>
      </c>
    </row>
    <row r="26" spans="2:15" x14ac:dyDescent="0.2">
      <c r="B26" s="33">
        <v>4</v>
      </c>
      <c r="C26" s="34" t="s">
        <v>68</v>
      </c>
      <c r="D26" s="44">
        <v>0</v>
      </c>
      <c r="E26" s="44">
        <v>0</v>
      </c>
      <c r="F26" s="44">
        <v>0</v>
      </c>
      <c r="G26" s="44">
        <v>0</v>
      </c>
      <c r="H26" s="44">
        <v>0</v>
      </c>
      <c r="I26" s="44">
        <f t="shared" si="4"/>
        <v>0</v>
      </c>
      <c r="J26" s="44">
        <v>89.357516799999999</v>
      </c>
      <c r="K26" s="44">
        <v>0</v>
      </c>
      <c r="L26" s="44"/>
      <c r="M26" s="44">
        <v>0</v>
      </c>
      <c r="N26" s="44">
        <v>0</v>
      </c>
      <c r="O26" s="44">
        <f t="shared" si="5"/>
        <v>89.357516799999999</v>
      </c>
    </row>
    <row r="27" spans="2:15" x14ac:dyDescent="0.2">
      <c r="B27" s="33">
        <v>5</v>
      </c>
      <c r="C27" s="34" t="s">
        <v>4</v>
      </c>
      <c r="D27" s="44">
        <v>0</v>
      </c>
      <c r="E27" s="44">
        <v>0</v>
      </c>
      <c r="F27" s="44">
        <v>0</v>
      </c>
      <c r="G27" s="44">
        <v>0</v>
      </c>
      <c r="H27" s="44">
        <v>0</v>
      </c>
      <c r="I27" s="44">
        <f t="shared" si="4"/>
        <v>0</v>
      </c>
      <c r="J27" s="44">
        <v>28.4766975</v>
      </c>
      <c r="K27" s="44">
        <v>0</v>
      </c>
      <c r="L27" s="44"/>
      <c r="M27" s="44">
        <v>0</v>
      </c>
      <c r="N27" s="44">
        <v>0</v>
      </c>
      <c r="O27" s="44">
        <f t="shared" si="5"/>
        <v>28.4766975</v>
      </c>
    </row>
    <row r="28" spans="2:15" x14ac:dyDescent="0.2">
      <c r="B28" s="33">
        <v>6</v>
      </c>
      <c r="C28" s="34" t="s">
        <v>5</v>
      </c>
      <c r="D28" s="44">
        <v>0</v>
      </c>
      <c r="E28" s="44">
        <v>0</v>
      </c>
      <c r="F28" s="44">
        <v>0</v>
      </c>
      <c r="G28" s="44">
        <v>0</v>
      </c>
      <c r="H28" s="44">
        <v>0</v>
      </c>
      <c r="I28" s="44">
        <f t="shared" si="4"/>
        <v>0</v>
      </c>
      <c r="J28" s="44">
        <v>1428.0275810000001</v>
      </c>
      <c r="K28" s="44">
        <v>0</v>
      </c>
      <c r="L28" s="44"/>
      <c r="M28" s="44">
        <v>0</v>
      </c>
      <c r="N28" s="44">
        <v>0</v>
      </c>
      <c r="O28" s="44">
        <f t="shared" si="5"/>
        <v>1428.0275810000001</v>
      </c>
    </row>
    <row r="29" spans="2:15" x14ac:dyDescent="0.2">
      <c r="B29" s="33">
        <v>7</v>
      </c>
      <c r="C29" s="34" t="s">
        <v>69</v>
      </c>
      <c r="D29" s="44">
        <v>0</v>
      </c>
      <c r="E29" s="44">
        <v>0</v>
      </c>
      <c r="F29" s="44">
        <v>0</v>
      </c>
      <c r="G29" s="44">
        <v>0</v>
      </c>
      <c r="H29" s="44">
        <v>0</v>
      </c>
      <c r="I29" s="44">
        <f t="shared" si="4"/>
        <v>0</v>
      </c>
      <c r="J29" s="44">
        <v>1.3168150000000001</v>
      </c>
      <c r="K29" s="44">
        <v>0</v>
      </c>
      <c r="L29" s="44"/>
      <c r="M29" s="44">
        <v>0</v>
      </c>
      <c r="N29" s="44">
        <v>0</v>
      </c>
      <c r="O29" s="44">
        <f t="shared" si="5"/>
        <v>1.3168150000000001</v>
      </c>
    </row>
    <row r="30" spans="2:15" x14ac:dyDescent="0.2">
      <c r="B30" s="33">
        <v>8</v>
      </c>
      <c r="C30" s="34" t="s">
        <v>70</v>
      </c>
      <c r="D30" s="44">
        <v>45777.9694733</v>
      </c>
      <c r="E30" s="44">
        <v>1858.8481724999999</v>
      </c>
      <c r="F30" s="44">
        <v>22265.558338499999</v>
      </c>
      <c r="G30" s="44">
        <v>0</v>
      </c>
      <c r="H30" s="44">
        <v>0</v>
      </c>
      <c r="I30" s="44">
        <f t="shared" si="4"/>
        <v>21653.562962299999</v>
      </c>
      <c r="J30" s="44">
        <v>68655.038800000009</v>
      </c>
      <c r="K30" s="44">
        <v>2491.6937710000002</v>
      </c>
      <c r="L30" s="44">
        <v>38314.9957775</v>
      </c>
      <c r="M30" s="44">
        <v>0</v>
      </c>
      <c r="N30" s="44">
        <v>0</v>
      </c>
      <c r="O30" s="44">
        <f t="shared" si="5"/>
        <v>27848.349251500003</v>
      </c>
    </row>
    <row r="31" spans="2:15" x14ac:dyDescent="0.2">
      <c r="B31" s="33">
        <v>9</v>
      </c>
      <c r="C31" s="34" t="s">
        <v>8</v>
      </c>
      <c r="D31" s="44">
        <v>171304.2529244</v>
      </c>
      <c r="E31" s="44">
        <v>0</v>
      </c>
      <c r="F31" s="44">
        <v>20047.940102500001</v>
      </c>
      <c r="G31" s="44">
        <v>0</v>
      </c>
      <c r="H31" s="44">
        <v>0</v>
      </c>
      <c r="I31" s="44">
        <f t="shared" si="4"/>
        <v>151256.31282190001</v>
      </c>
      <c r="J31" s="44">
        <v>520401.0477102088</v>
      </c>
      <c r="K31" s="44">
        <v>8470.8203830000002</v>
      </c>
      <c r="L31" s="44">
        <v>76270.613150000005</v>
      </c>
      <c r="M31" s="44">
        <v>0</v>
      </c>
      <c r="N31" s="44">
        <v>0</v>
      </c>
      <c r="O31" s="44">
        <f t="shared" si="5"/>
        <v>435659.6141772088</v>
      </c>
    </row>
    <row r="32" spans="2:15" x14ac:dyDescent="0.2">
      <c r="B32" s="33">
        <v>10</v>
      </c>
      <c r="C32" s="34" t="s">
        <v>9</v>
      </c>
      <c r="D32" s="44">
        <v>5276.782588</v>
      </c>
      <c r="E32" s="44">
        <v>0</v>
      </c>
      <c r="F32" s="44">
        <v>0</v>
      </c>
      <c r="G32" s="44">
        <v>0</v>
      </c>
      <c r="H32" s="44">
        <v>0</v>
      </c>
      <c r="I32" s="44">
        <f t="shared" si="4"/>
        <v>5276.782588</v>
      </c>
      <c r="J32" s="44">
        <v>9034.4078355000001</v>
      </c>
      <c r="K32" s="44">
        <v>0</v>
      </c>
      <c r="L32" s="44">
        <v>0</v>
      </c>
      <c r="M32" s="44">
        <v>0</v>
      </c>
      <c r="N32" s="44">
        <v>0</v>
      </c>
      <c r="O32" s="44">
        <f t="shared" si="5"/>
        <v>9034.4078355000001</v>
      </c>
    </row>
    <row r="33" spans="2:15" s="9" customFormat="1" x14ac:dyDescent="0.2">
      <c r="B33" s="36"/>
      <c r="C33" s="35" t="s">
        <v>72</v>
      </c>
      <c r="D33" s="45">
        <f t="shared" ref="D33:O33" si="6">SUM(D23:D32)</f>
        <v>244036.5263881</v>
      </c>
      <c r="E33" s="45">
        <f t="shared" si="6"/>
        <v>1858.8481724999999</v>
      </c>
      <c r="F33" s="45">
        <f t="shared" si="6"/>
        <v>43361.048870999999</v>
      </c>
      <c r="G33" s="45">
        <f t="shared" si="6"/>
        <v>0</v>
      </c>
      <c r="H33" s="45">
        <f t="shared" si="6"/>
        <v>0</v>
      </c>
      <c r="I33" s="45">
        <f>SUM(I23:I32)</f>
        <v>198816.62934460002</v>
      </c>
      <c r="J33" s="45">
        <f>SUM(J23:J32)</f>
        <v>604410.50057210878</v>
      </c>
      <c r="K33" s="45">
        <f t="shared" si="6"/>
        <v>11126.350522500001</v>
      </c>
      <c r="L33" s="45">
        <f t="shared" si="6"/>
        <v>118937.3952065</v>
      </c>
      <c r="M33" s="45">
        <f t="shared" si="6"/>
        <v>0</v>
      </c>
      <c r="N33" s="45">
        <f t="shared" si="6"/>
        <v>0</v>
      </c>
      <c r="O33" s="45">
        <f t="shared" si="6"/>
        <v>474346.75484310882</v>
      </c>
    </row>
    <row r="34" spans="2:15" x14ac:dyDescent="0.2">
      <c r="B34" s="33"/>
      <c r="C34" s="34"/>
      <c r="D34" s="44"/>
      <c r="E34" s="44"/>
      <c r="F34" s="44"/>
      <c r="G34" s="44"/>
      <c r="H34" s="44"/>
      <c r="I34" s="50"/>
      <c r="J34" s="34"/>
      <c r="K34" s="34"/>
      <c r="L34" s="34"/>
      <c r="M34" s="34"/>
      <c r="N34" s="34"/>
      <c r="O34" s="34"/>
    </row>
    <row r="35" spans="2:15" x14ac:dyDescent="0.2">
      <c r="B35" s="36" t="s">
        <v>54</v>
      </c>
      <c r="C35" s="37" t="s">
        <v>73</v>
      </c>
      <c r="D35" s="44"/>
      <c r="E35" s="44"/>
      <c r="F35" s="44"/>
      <c r="G35" s="44"/>
      <c r="H35" s="44"/>
      <c r="I35" s="50"/>
      <c r="J35" s="34"/>
      <c r="K35" s="34"/>
      <c r="L35" s="34"/>
      <c r="M35" s="34"/>
      <c r="N35" s="34"/>
      <c r="O35" s="34"/>
    </row>
    <row r="36" spans="2:15" x14ac:dyDescent="0.2">
      <c r="B36" s="33">
        <v>1</v>
      </c>
      <c r="C36" s="34" t="s">
        <v>0</v>
      </c>
      <c r="D36" s="44">
        <v>527192.259968</v>
      </c>
      <c r="E36" s="44">
        <v>0</v>
      </c>
      <c r="F36" s="44">
        <v>0</v>
      </c>
      <c r="G36" s="44">
        <v>0</v>
      </c>
      <c r="H36" s="44">
        <v>0</v>
      </c>
      <c r="I36" s="44">
        <f t="shared" ref="I36:I41" si="7">D36-E36-F36-G36-H36</f>
        <v>527192.259968</v>
      </c>
      <c r="J36" s="44">
        <v>478576.9</v>
      </c>
      <c r="K36" s="44">
        <v>0</v>
      </c>
      <c r="L36" s="44">
        <v>0</v>
      </c>
      <c r="M36" s="44">
        <v>0</v>
      </c>
      <c r="N36" s="44">
        <v>0</v>
      </c>
      <c r="O36" s="44">
        <f t="shared" ref="O36:O41" si="8">J36-K36-L36-M36-N36</f>
        <v>478576.9</v>
      </c>
    </row>
    <row r="37" spans="2:15" x14ac:dyDescent="0.2">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2" thickBot="1" x14ac:dyDescent="0.25">
      <c r="B42" s="46"/>
      <c r="C42" s="38" t="s">
        <v>56</v>
      </c>
      <c r="D42" s="47">
        <f t="shared" ref="D42:H42" si="9">SUM(D36:D41)</f>
        <v>527192.259968</v>
      </c>
      <c r="E42" s="47">
        <f t="shared" si="9"/>
        <v>0</v>
      </c>
      <c r="F42" s="47">
        <f t="shared" si="9"/>
        <v>0</v>
      </c>
      <c r="G42" s="47">
        <f t="shared" si="9"/>
        <v>0</v>
      </c>
      <c r="H42" s="47">
        <f t="shared" si="9"/>
        <v>0</v>
      </c>
      <c r="I42" s="47">
        <f>SUM(I36:I41)</f>
        <v>527192.259968</v>
      </c>
      <c r="J42" s="47">
        <f t="shared" ref="J42:N42" si="10">SUM(J36:J41)</f>
        <v>478576.9</v>
      </c>
      <c r="K42" s="47">
        <f t="shared" si="10"/>
        <v>0</v>
      </c>
      <c r="L42" s="47">
        <f t="shared" si="10"/>
        <v>0</v>
      </c>
      <c r="M42" s="47">
        <f t="shared" si="10"/>
        <v>0</v>
      </c>
      <c r="N42" s="47">
        <f t="shared" si="10"/>
        <v>0</v>
      </c>
      <c r="O42" s="47">
        <f t="shared" ref="O42" si="11">SUM(O36:O41)</f>
        <v>478576.9</v>
      </c>
    </row>
    <row r="43" spans="2:15" s="9" customFormat="1" ht="12" thickBot="1" x14ac:dyDescent="0.25">
      <c r="B43" s="282" t="s">
        <v>75</v>
      </c>
      <c r="C43" s="283"/>
      <c r="D43" s="51">
        <f>D20+D33+D42</f>
        <v>27688254.454950102</v>
      </c>
      <c r="E43" s="51">
        <f>E20+E33+E42</f>
        <v>39532.955597499997</v>
      </c>
      <c r="F43" s="51">
        <f t="shared" ref="F43:H43" si="12">F20+F33+F42</f>
        <v>43361.048870999999</v>
      </c>
      <c r="G43" s="51">
        <f t="shared" si="12"/>
        <v>34853.847493000001</v>
      </c>
      <c r="H43" s="51">
        <f t="shared" si="12"/>
        <v>0</v>
      </c>
      <c r="I43" s="51">
        <f>I20+I33+I42</f>
        <v>27570506.602988608</v>
      </c>
      <c r="J43" s="48">
        <f>J20+J33+J42</f>
        <v>26805331.153772108</v>
      </c>
      <c r="K43" s="48">
        <f t="shared" ref="K43:N43" si="13">K20+K33+K42</f>
        <v>39612.008180500008</v>
      </c>
      <c r="L43" s="48">
        <f t="shared" si="13"/>
        <v>118937.3952065</v>
      </c>
      <c r="M43" s="48">
        <f t="shared" si="13"/>
        <v>63258.181058999995</v>
      </c>
      <c r="N43" s="48">
        <f t="shared" si="13"/>
        <v>0</v>
      </c>
      <c r="O43" s="48">
        <f>O20+O33+O42</f>
        <v>26583523.56932611</v>
      </c>
    </row>
    <row r="44" spans="2:15" x14ac:dyDescent="0.2">
      <c r="D44" s="184">
        <v>27688254.454950102</v>
      </c>
    </row>
    <row r="46" spans="2:15" x14ac:dyDescent="0.2">
      <c r="B46" s="3" t="s">
        <v>22</v>
      </c>
      <c r="C46" s="6" t="s">
        <v>125</v>
      </c>
    </row>
    <row r="47" spans="2:15" x14ac:dyDescent="0.2">
      <c r="C47" s="8" t="s">
        <v>76</v>
      </c>
    </row>
  </sheetData>
  <mergeCells count="11">
    <mergeCell ref="B43:C43"/>
    <mergeCell ref="B4:B6"/>
    <mergeCell ref="C4:C6"/>
    <mergeCell ref="D4:I4"/>
    <mergeCell ref="J4:O4"/>
    <mergeCell ref="D5:D6"/>
    <mergeCell ref="E5:H5"/>
    <mergeCell ref="I5:I6"/>
    <mergeCell ref="J5:J6"/>
    <mergeCell ref="K5:N5"/>
    <mergeCell ref="O5:O6"/>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election activeCell="I43" sqref="I43"/>
    </sheetView>
  </sheetViews>
  <sheetFormatPr defaultColWidth="8.7109375" defaultRowHeight="11.25" x14ac:dyDescent="0.2"/>
  <cols>
    <col min="1" max="1" width="3.85546875" style="6" customWidth="1"/>
    <col min="2" max="2" width="3.140625" style="22" bestFit="1" customWidth="1"/>
    <col min="3" max="3" width="46.5703125" style="6" bestFit="1" customWidth="1"/>
    <col min="4" max="5" width="10.42578125" style="6" bestFit="1" customWidth="1"/>
    <col min="6" max="6" width="7.42578125" style="6" bestFit="1" customWidth="1"/>
    <col min="7" max="7" width="11" style="6" bestFit="1" customWidth="1"/>
    <col min="8" max="8" width="6" style="6" bestFit="1" customWidth="1"/>
    <col min="9" max="9" width="18.140625" style="6" bestFit="1" customWidth="1"/>
    <col min="10" max="10" width="9.7109375" style="6" bestFit="1" customWidth="1"/>
    <col min="11" max="11" width="7.42578125" style="6" bestFit="1" customWidth="1"/>
    <col min="12" max="12" width="5.5703125" style="6" bestFit="1" customWidth="1"/>
    <col min="13" max="13" width="10.140625" style="6" bestFit="1" customWidth="1"/>
    <col min="14" max="14" width="5.42578125" style="6" bestFit="1" customWidth="1"/>
    <col min="15" max="15" width="17.140625" style="6" bestFit="1" customWidth="1"/>
    <col min="16" max="16384" width="8.7109375" style="6"/>
  </cols>
  <sheetData>
    <row r="1" spans="1:15" x14ac:dyDescent="0.2">
      <c r="A1" s="6" t="s">
        <v>126</v>
      </c>
      <c r="B1" s="100" t="s">
        <v>127</v>
      </c>
    </row>
    <row r="2" spans="1:15" x14ac:dyDescent="0.2">
      <c r="B2" s="3" t="s">
        <v>17</v>
      </c>
      <c r="C2" s="6" t="s">
        <v>16</v>
      </c>
      <c r="E2" s="6">
        <v>195183.26678199999</v>
      </c>
    </row>
    <row r="3" spans="1:15" ht="12" thickBot="1" x14ac:dyDescent="0.25">
      <c r="B3" s="49"/>
      <c r="C3" s="49"/>
      <c r="D3" s="49"/>
      <c r="E3" s="49"/>
      <c r="F3" s="49"/>
      <c r="G3" s="49"/>
      <c r="H3" s="49"/>
      <c r="I3" s="49"/>
      <c r="J3" s="49"/>
      <c r="K3" s="49"/>
      <c r="L3" s="49"/>
      <c r="M3" s="49"/>
      <c r="N3" s="49"/>
      <c r="O3" s="170" t="s">
        <v>57</v>
      </c>
    </row>
    <row r="4" spans="1:15" ht="12" thickBot="1" x14ac:dyDescent="0.25">
      <c r="B4" s="285" t="s">
        <v>18</v>
      </c>
      <c r="C4" s="288" t="s">
        <v>19</v>
      </c>
      <c r="D4" s="291" t="s">
        <v>243</v>
      </c>
      <c r="E4" s="292"/>
      <c r="F4" s="292"/>
      <c r="G4" s="292"/>
      <c r="H4" s="292"/>
      <c r="I4" s="293"/>
      <c r="J4" s="291" t="s">
        <v>58</v>
      </c>
      <c r="K4" s="292"/>
      <c r="L4" s="292"/>
      <c r="M4" s="292"/>
      <c r="N4" s="292"/>
      <c r="O4" s="293"/>
    </row>
    <row r="5" spans="1:15" ht="12" thickBot="1" x14ac:dyDescent="0.25">
      <c r="B5" s="286"/>
      <c r="C5" s="289"/>
      <c r="D5" s="298" t="s">
        <v>59</v>
      </c>
      <c r="E5" s="300" t="s">
        <v>62</v>
      </c>
      <c r="F5" s="292"/>
      <c r="G5" s="292"/>
      <c r="H5" s="293"/>
      <c r="I5" s="296" t="s">
        <v>61</v>
      </c>
      <c r="J5" s="294" t="s">
        <v>59</v>
      </c>
      <c r="K5" s="292" t="s">
        <v>60</v>
      </c>
      <c r="L5" s="292"/>
      <c r="M5" s="292"/>
      <c r="N5" s="293"/>
      <c r="O5" s="294" t="s">
        <v>61</v>
      </c>
    </row>
    <row r="6" spans="1:15" ht="12" thickBot="1" x14ac:dyDescent="0.25">
      <c r="B6" s="287"/>
      <c r="C6" s="290"/>
      <c r="D6" s="299"/>
      <c r="E6" s="28" t="s">
        <v>63</v>
      </c>
      <c r="F6" s="28" t="s">
        <v>64</v>
      </c>
      <c r="G6" s="28" t="s">
        <v>65</v>
      </c>
      <c r="H6" s="28" t="s">
        <v>25</v>
      </c>
      <c r="I6" s="297"/>
      <c r="J6" s="295"/>
      <c r="K6" s="28" t="s">
        <v>63</v>
      </c>
      <c r="L6" s="28" t="s">
        <v>64</v>
      </c>
      <c r="M6" s="28" t="s">
        <v>65</v>
      </c>
      <c r="N6" s="28" t="s">
        <v>25</v>
      </c>
      <c r="O6" s="295"/>
    </row>
    <row r="7" spans="1:15" s="43" customFormat="1" ht="10.5" customHeight="1" thickBot="1" x14ac:dyDescent="0.3">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
      <c r="B8" s="29" t="s">
        <v>20</v>
      </c>
      <c r="C8" s="30" t="s">
        <v>21</v>
      </c>
      <c r="D8" s="31"/>
      <c r="E8" s="31"/>
      <c r="F8" s="31"/>
      <c r="G8" s="31"/>
      <c r="H8" s="31"/>
      <c r="I8" s="32"/>
      <c r="J8" s="31"/>
      <c r="K8" s="31"/>
      <c r="L8" s="31"/>
      <c r="M8" s="31"/>
      <c r="N8" s="31"/>
      <c r="O8" s="31"/>
    </row>
    <row r="9" spans="1:15" x14ac:dyDescent="0.2">
      <c r="B9" s="33">
        <v>1</v>
      </c>
      <c r="C9" s="34" t="s">
        <v>0</v>
      </c>
      <c r="D9" s="44">
        <v>4912588.1720130006</v>
      </c>
      <c r="E9" s="44">
        <v>0</v>
      </c>
      <c r="F9" s="44">
        <v>0</v>
      </c>
      <c r="G9" s="44">
        <v>0</v>
      </c>
      <c r="H9" s="44">
        <v>0</v>
      </c>
      <c r="I9" s="44">
        <f>D9-E9-F9-G9-H9</f>
        <v>4912588.1720130006</v>
      </c>
      <c r="J9" s="44">
        <v>4125714.0279359994</v>
      </c>
      <c r="K9" s="44">
        <v>0</v>
      </c>
      <c r="L9" s="44">
        <v>0</v>
      </c>
      <c r="M9" s="44">
        <v>0</v>
      </c>
      <c r="N9" s="44">
        <v>0</v>
      </c>
      <c r="O9" s="44">
        <f>J9-K9-L9-M9-N9</f>
        <v>4125714.0279359994</v>
      </c>
    </row>
    <row r="10" spans="1:15" x14ac:dyDescent="0.2">
      <c r="B10" s="33">
        <v>2</v>
      </c>
      <c r="C10" s="34" t="s">
        <v>1</v>
      </c>
      <c r="D10" s="44">
        <v>64905.934932000004</v>
      </c>
      <c r="E10" s="44">
        <v>0</v>
      </c>
      <c r="F10" s="44">
        <v>0</v>
      </c>
      <c r="G10" s="44">
        <v>0</v>
      </c>
      <c r="H10" s="44">
        <v>0</v>
      </c>
      <c r="I10" s="44">
        <f t="shared" ref="I10:I19" si="0">D10-E10-F10-G10-H10</f>
        <v>64905.934932000004</v>
      </c>
      <c r="J10" s="44">
        <v>114670.83726099999</v>
      </c>
      <c r="K10" s="44">
        <v>13392.857145</v>
      </c>
      <c r="L10" s="44">
        <v>0</v>
      </c>
      <c r="M10" s="44">
        <v>0</v>
      </c>
      <c r="N10" s="44">
        <v>0</v>
      </c>
      <c r="O10" s="44">
        <f t="shared" ref="O10:O19" si="1">J10-K10-L10-M10-N10</f>
        <v>101277.98011599999</v>
      </c>
    </row>
    <row r="11" spans="1:15" x14ac:dyDescent="0.2">
      <c r="B11" s="33">
        <v>3</v>
      </c>
      <c r="C11" s="34" t="s">
        <v>2</v>
      </c>
      <c r="D11" s="44">
        <v>463.74705499999999</v>
      </c>
      <c r="E11" s="44">
        <v>0</v>
      </c>
      <c r="F11" s="44">
        <v>0</v>
      </c>
      <c r="G11" s="44">
        <v>0</v>
      </c>
      <c r="H11" s="44">
        <v>0</v>
      </c>
      <c r="I11" s="44">
        <f t="shared" si="0"/>
        <v>463.74705499999999</v>
      </c>
      <c r="J11" s="44">
        <v>175.88904600000001</v>
      </c>
      <c r="K11" s="44">
        <v>0</v>
      </c>
      <c r="L11" s="44">
        <v>0</v>
      </c>
      <c r="M11" s="44">
        <v>0</v>
      </c>
      <c r="N11" s="44">
        <v>0</v>
      </c>
      <c r="O11" s="44">
        <f t="shared" si="1"/>
        <v>175.88904600000001</v>
      </c>
    </row>
    <row r="12" spans="1:15" x14ac:dyDescent="0.2">
      <c r="B12" s="33">
        <v>4</v>
      </c>
      <c r="C12" s="34" t="s">
        <v>68</v>
      </c>
      <c r="D12" s="44">
        <f>3130121.900622+308563.453354</f>
        <v>3438685.3539760001</v>
      </c>
      <c r="E12" s="44">
        <v>0</v>
      </c>
      <c r="F12" s="44">
        <v>0</v>
      </c>
      <c r="G12" s="44">
        <v>0</v>
      </c>
      <c r="H12" s="44">
        <v>0</v>
      </c>
      <c r="I12" s="44">
        <f t="shared" si="0"/>
        <v>3438685.3539760001</v>
      </c>
      <c r="J12" s="44">
        <v>1445230.801344</v>
      </c>
      <c r="K12" s="44">
        <v>0</v>
      </c>
      <c r="L12" s="44">
        <v>0</v>
      </c>
      <c r="M12" s="44">
        <v>0</v>
      </c>
      <c r="N12" s="44">
        <v>0</v>
      </c>
      <c r="O12" s="44">
        <f t="shared" si="1"/>
        <v>1445230.801344</v>
      </c>
    </row>
    <row r="13" spans="1:15" x14ac:dyDescent="0.2">
      <c r="B13" s="33">
        <v>5</v>
      </c>
      <c r="C13" s="34" t="s">
        <v>4</v>
      </c>
      <c r="D13" s="44">
        <v>371291.10466399998</v>
      </c>
      <c r="E13" s="44">
        <v>0</v>
      </c>
      <c r="F13" s="44">
        <v>0</v>
      </c>
      <c r="G13" s="44">
        <v>0</v>
      </c>
      <c r="H13" s="44">
        <v>0</v>
      </c>
      <c r="I13" s="44">
        <f t="shared" si="0"/>
        <v>371291.10466399998</v>
      </c>
      <c r="J13" s="44">
        <v>241209.872431</v>
      </c>
      <c r="K13" s="44">
        <v>0</v>
      </c>
      <c r="L13" s="44">
        <v>0</v>
      </c>
      <c r="M13" s="44">
        <v>0</v>
      </c>
      <c r="N13" s="44">
        <v>0</v>
      </c>
      <c r="O13" s="44">
        <f t="shared" si="1"/>
        <v>241209.872431</v>
      </c>
    </row>
    <row r="14" spans="1:15" x14ac:dyDescent="0.2">
      <c r="B14" s="33">
        <v>6</v>
      </c>
      <c r="C14" s="34" t="s">
        <v>5</v>
      </c>
      <c r="D14" s="44">
        <v>106468.491033</v>
      </c>
      <c r="E14" s="44">
        <v>0</v>
      </c>
      <c r="F14" s="44">
        <v>0</v>
      </c>
      <c r="G14" s="44">
        <v>0</v>
      </c>
      <c r="H14" s="44">
        <v>0</v>
      </c>
      <c r="I14" s="44">
        <f t="shared" si="0"/>
        <v>106468.491033</v>
      </c>
      <c r="J14" s="44">
        <v>62471.178787999997</v>
      </c>
      <c r="K14" s="44">
        <v>0</v>
      </c>
      <c r="L14" s="44">
        <v>0</v>
      </c>
      <c r="M14" s="44">
        <v>0</v>
      </c>
      <c r="N14" s="44">
        <v>0</v>
      </c>
      <c r="O14" s="44">
        <f t="shared" si="1"/>
        <v>62471.178787999997</v>
      </c>
    </row>
    <row r="15" spans="1:15" x14ac:dyDescent="0.2">
      <c r="B15" s="33">
        <v>7</v>
      </c>
      <c r="C15" s="34" t="s">
        <v>69</v>
      </c>
      <c r="D15" s="44">
        <v>10707318.12713</v>
      </c>
      <c r="E15" s="44">
        <v>2447.015731</v>
      </c>
      <c r="F15" s="44">
        <v>0</v>
      </c>
      <c r="G15" s="44">
        <v>4.7039879999999998</v>
      </c>
      <c r="H15" s="44">
        <v>0</v>
      </c>
      <c r="I15" s="44">
        <f>D15-E15-F15-G15-H15</f>
        <v>10704866.407411</v>
      </c>
      <c r="J15" s="44">
        <v>10123841.65105</v>
      </c>
      <c r="K15" s="44">
        <v>1248.4777799999999</v>
      </c>
      <c r="L15" s="44">
        <v>0</v>
      </c>
      <c r="M15" s="44">
        <v>13.352757</v>
      </c>
      <c r="N15" s="44">
        <v>0</v>
      </c>
      <c r="O15" s="44">
        <f t="shared" si="1"/>
        <v>10122579.820513001</v>
      </c>
    </row>
    <row r="16" spans="1:15" x14ac:dyDescent="0.2">
      <c r="B16" s="33">
        <v>8</v>
      </c>
      <c r="C16" s="34" t="s">
        <v>70</v>
      </c>
      <c r="D16" s="44">
        <v>1047830.090904</v>
      </c>
      <c r="E16" s="44">
        <v>7457.1763639999999</v>
      </c>
      <c r="F16" s="44">
        <v>0</v>
      </c>
      <c r="G16" s="44">
        <v>62694.728048999998</v>
      </c>
      <c r="H16" s="44">
        <v>0</v>
      </c>
      <c r="I16" s="44">
        <f>D16-E16-F16-G16-H16</f>
        <v>977678.186491</v>
      </c>
      <c r="J16" s="44">
        <v>1020447.584684</v>
      </c>
      <c r="K16" s="44">
        <v>7517.7974919999997</v>
      </c>
      <c r="L16" s="44">
        <v>0</v>
      </c>
      <c r="M16" s="44">
        <v>79345.935245999994</v>
      </c>
      <c r="N16" s="44">
        <v>0</v>
      </c>
      <c r="O16" s="44">
        <f>J16-K16-L16-M16-N16</f>
        <v>933583.85194600001</v>
      </c>
    </row>
    <row r="17" spans="2:15" x14ac:dyDescent="0.2">
      <c r="B17" s="33">
        <v>9</v>
      </c>
      <c r="C17" s="34" t="s">
        <v>8</v>
      </c>
      <c r="D17" s="44">
        <v>2490957.3106629997</v>
      </c>
      <c r="E17" s="44">
        <v>18560.834605</v>
      </c>
      <c r="F17" s="44">
        <v>0</v>
      </c>
      <c r="G17" s="44">
        <v>0</v>
      </c>
      <c r="H17" s="44">
        <v>0</v>
      </c>
      <c r="I17" s="44">
        <f t="shared" si="0"/>
        <v>2472396.4760579998</v>
      </c>
      <c r="J17" s="44">
        <v>1816198.7691409998</v>
      </c>
      <c r="K17" s="44">
        <v>41977.045234999998</v>
      </c>
      <c r="L17" s="44">
        <v>0</v>
      </c>
      <c r="M17" s="44">
        <v>200</v>
      </c>
      <c r="N17" s="44">
        <v>0</v>
      </c>
      <c r="O17" s="44">
        <f t="shared" si="1"/>
        <v>1774021.7239059997</v>
      </c>
    </row>
    <row r="18" spans="2:15" x14ac:dyDescent="0.2">
      <c r="B18" s="33">
        <v>10</v>
      </c>
      <c r="C18" s="34" t="s">
        <v>9</v>
      </c>
      <c r="D18" s="44">
        <v>308025.47320100002</v>
      </c>
      <c r="E18" s="44">
        <v>20.630958</v>
      </c>
      <c r="F18" s="44">
        <v>0</v>
      </c>
      <c r="G18" s="44">
        <v>558.74902199999997</v>
      </c>
      <c r="H18" s="44">
        <v>0</v>
      </c>
      <c r="I18" s="44">
        <f t="shared" si="0"/>
        <v>307446.09322099999</v>
      </c>
      <c r="J18" s="44">
        <v>286787.56357100001</v>
      </c>
      <c r="K18" s="44">
        <v>0</v>
      </c>
      <c r="L18" s="44">
        <v>0</v>
      </c>
      <c r="M18" s="44">
        <v>659.07922299999996</v>
      </c>
      <c r="N18" s="44">
        <v>0</v>
      </c>
      <c r="O18" s="44">
        <f t="shared" si="1"/>
        <v>286128.48434800003</v>
      </c>
    </row>
    <row r="19" spans="2:15" x14ac:dyDescent="0.2">
      <c r="B19" s="33">
        <v>11</v>
      </c>
      <c r="C19" s="34" t="s">
        <v>10</v>
      </c>
      <c r="D19" s="44">
        <v>2273809.9476290001</v>
      </c>
      <c r="E19" s="44">
        <v>0</v>
      </c>
      <c r="F19" s="44">
        <v>0</v>
      </c>
      <c r="G19" s="44">
        <v>0</v>
      </c>
      <c r="H19" s="44">
        <v>0</v>
      </c>
      <c r="I19" s="44">
        <f t="shared" si="0"/>
        <v>2273809.9476290001</v>
      </c>
      <c r="J19" s="44">
        <v>2195608.7007209999</v>
      </c>
      <c r="K19" s="44">
        <v>0</v>
      </c>
      <c r="L19" s="44">
        <v>0</v>
      </c>
      <c r="M19" s="44">
        <v>0</v>
      </c>
      <c r="N19" s="44">
        <v>0</v>
      </c>
      <c r="O19" s="44">
        <f t="shared" si="1"/>
        <v>2195608.7007209999</v>
      </c>
    </row>
    <row r="20" spans="2:15" s="9" customFormat="1" x14ac:dyDescent="0.2">
      <c r="B20" s="36"/>
      <c r="C20" s="35" t="s">
        <v>51</v>
      </c>
      <c r="D20" s="45">
        <f>SUM(D9:D19)</f>
        <v>25722343.753200002</v>
      </c>
      <c r="E20" s="45">
        <f t="shared" ref="E20:H20" si="2">SUM(E9:E19)</f>
        <v>28485.657658000004</v>
      </c>
      <c r="F20" s="44">
        <v>0</v>
      </c>
      <c r="G20" s="45">
        <f t="shared" si="2"/>
        <v>63258.181058999995</v>
      </c>
      <c r="H20" s="45">
        <f t="shared" si="2"/>
        <v>0</v>
      </c>
      <c r="I20" s="45">
        <f>SUM(I9:I19)</f>
        <v>25630599.914483003</v>
      </c>
      <c r="J20" s="45">
        <f>SUM(J9:J19)</f>
        <v>21432356.875972997</v>
      </c>
      <c r="K20" s="45">
        <f t="shared" ref="K20:O20" si="3">SUM(K9:K19)</f>
        <v>64136.177651999998</v>
      </c>
      <c r="L20" s="45">
        <f t="shared" si="3"/>
        <v>0</v>
      </c>
      <c r="M20" s="45">
        <f t="shared" si="3"/>
        <v>80218.367225999988</v>
      </c>
      <c r="N20" s="45">
        <f t="shared" si="3"/>
        <v>0</v>
      </c>
      <c r="O20" s="45">
        <f t="shared" si="3"/>
        <v>21288002.331094999</v>
      </c>
    </row>
    <row r="21" spans="2:15" x14ac:dyDescent="0.2">
      <c r="B21" s="33"/>
      <c r="C21" s="34"/>
      <c r="D21" s="44"/>
      <c r="E21" s="44"/>
      <c r="F21" s="44"/>
      <c r="G21" s="44"/>
      <c r="H21" s="44"/>
      <c r="I21" s="50"/>
      <c r="J21" s="34"/>
      <c r="K21" s="34"/>
      <c r="L21" s="34"/>
      <c r="M21" s="34"/>
      <c r="N21" s="34"/>
      <c r="O21" s="34"/>
    </row>
    <row r="22" spans="2:15" x14ac:dyDescent="0.2">
      <c r="B22" s="36" t="s">
        <v>52</v>
      </c>
      <c r="C22" s="37" t="s">
        <v>71</v>
      </c>
      <c r="D22" s="44"/>
      <c r="E22" s="44"/>
      <c r="F22" s="44"/>
      <c r="G22" s="44"/>
      <c r="H22" s="44"/>
      <c r="I22" s="50"/>
      <c r="J22" s="34"/>
      <c r="K22" s="34"/>
      <c r="L22" s="34"/>
      <c r="M22" s="34"/>
      <c r="N22" s="34"/>
      <c r="O22" s="34"/>
    </row>
    <row r="23" spans="2:15" x14ac:dyDescent="0.2">
      <c r="B23" s="33">
        <v>1</v>
      </c>
      <c r="C23" s="34" t="s">
        <v>0</v>
      </c>
      <c r="D23" s="44">
        <v>32.611588599999997</v>
      </c>
      <c r="E23" s="44">
        <v>0</v>
      </c>
      <c r="F23" s="44">
        <v>0</v>
      </c>
      <c r="G23" s="44">
        <v>0</v>
      </c>
      <c r="H23" s="44">
        <v>0</v>
      </c>
      <c r="I23" s="44">
        <f t="shared" ref="I23:I32" si="4">D23-E23-F23-G23-H23</f>
        <v>32.611588599999997</v>
      </c>
      <c r="J23" s="44">
        <v>0</v>
      </c>
      <c r="K23" s="44"/>
      <c r="L23" s="44"/>
      <c r="M23" s="44"/>
      <c r="N23" s="44"/>
      <c r="O23" s="44">
        <f t="shared" ref="O23:O32" si="5">J23-K23-L23-M23-N23</f>
        <v>0</v>
      </c>
    </row>
    <row r="24" spans="2:15" x14ac:dyDescent="0.2">
      <c r="B24" s="33">
        <v>2</v>
      </c>
      <c r="C24" s="34" t="s">
        <v>1</v>
      </c>
      <c r="D24" s="44">
        <v>4740.2160274999997</v>
      </c>
      <c r="E24" s="44">
        <v>163.83636849999999</v>
      </c>
      <c r="F24" s="44">
        <v>4351.7862789999999</v>
      </c>
      <c r="G24" s="44">
        <v>0</v>
      </c>
      <c r="H24" s="44">
        <v>0</v>
      </c>
      <c r="I24" s="44">
        <f t="shared" si="4"/>
        <v>224.59337999999934</v>
      </c>
      <c r="J24" s="44">
        <v>135894.926205</v>
      </c>
      <c r="K24" s="44">
        <v>55874.268990500001</v>
      </c>
      <c r="L24" s="44"/>
      <c r="M24" s="44">
        <v>78103.987714500006</v>
      </c>
      <c r="N24" s="44"/>
      <c r="O24" s="44">
        <f t="shared" si="5"/>
        <v>1916.6694999999891</v>
      </c>
    </row>
    <row r="25" spans="2:15" x14ac:dyDescent="0.2">
      <c r="B25" s="33">
        <v>3</v>
      </c>
      <c r="C25" s="34" t="s">
        <v>2</v>
      </c>
      <c r="D25" s="44">
        <v>0</v>
      </c>
      <c r="E25" s="44">
        <v>0</v>
      </c>
      <c r="F25" s="44"/>
      <c r="G25" s="44">
        <v>0</v>
      </c>
      <c r="H25" s="44">
        <v>0</v>
      </c>
      <c r="I25" s="44">
        <f t="shared" si="4"/>
        <v>0</v>
      </c>
      <c r="J25" s="44"/>
      <c r="K25" s="44"/>
      <c r="L25" s="44"/>
      <c r="M25" s="44"/>
      <c r="N25" s="44"/>
      <c r="O25" s="44">
        <f t="shared" si="5"/>
        <v>0</v>
      </c>
    </row>
    <row r="26" spans="2:15" x14ac:dyDescent="0.2">
      <c r="B26" s="33">
        <v>4</v>
      </c>
      <c r="C26" s="34" t="s">
        <v>68</v>
      </c>
      <c r="D26" s="44">
        <v>89.357516799999999</v>
      </c>
      <c r="E26" s="44">
        <v>0</v>
      </c>
      <c r="F26" s="44"/>
      <c r="G26" s="44">
        <v>0</v>
      </c>
      <c r="H26" s="44">
        <v>0</v>
      </c>
      <c r="I26" s="44">
        <f t="shared" si="4"/>
        <v>89.357516799999999</v>
      </c>
      <c r="J26" s="44">
        <v>4166.1134934000002</v>
      </c>
      <c r="K26" s="44"/>
      <c r="L26" s="44"/>
      <c r="M26" s="44"/>
      <c r="N26" s="44"/>
      <c r="O26" s="44">
        <f t="shared" si="5"/>
        <v>4166.1134934000002</v>
      </c>
    </row>
    <row r="27" spans="2:15" x14ac:dyDescent="0.2">
      <c r="B27" s="33">
        <v>5</v>
      </c>
      <c r="C27" s="34" t="s">
        <v>4</v>
      </c>
      <c r="D27" s="44">
        <v>28.4766975</v>
      </c>
      <c r="E27" s="44">
        <v>0</v>
      </c>
      <c r="F27" s="44"/>
      <c r="G27" s="44">
        <v>0</v>
      </c>
      <c r="H27" s="44">
        <v>0</v>
      </c>
      <c r="I27" s="44">
        <f t="shared" si="4"/>
        <v>28.4766975</v>
      </c>
      <c r="J27" s="44">
        <v>28.866493999999999</v>
      </c>
      <c r="K27" s="44"/>
      <c r="L27" s="44"/>
      <c r="M27" s="44"/>
      <c r="N27" s="44"/>
      <c r="O27" s="44">
        <f t="shared" si="5"/>
        <v>28.866493999999999</v>
      </c>
    </row>
    <row r="28" spans="2:15" x14ac:dyDescent="0.2">
      <c r="B28" s="33">
        <v>6</v>
      </c>
      <c r="C28" s="34" t="s">
        <v>5</v>
      </c>
      <c r="D28" s="44">
        <v>1428.0275810000001</v>
      </c>
      <c r="E28" s="44">
        <v>0</v>
      </c>
      <c r="F28" s="44"/>
      <c r="G28" s="44">
        <v>0</v>
      </c>
      <c r="H28" s="44">
        <v>0</v>
      </c>
      <c r="I28" s="44">
        <f t="shared" si="4"/>
        <v>1428.0275810000001</v>
      </c>
      <c r="J28" s="44"/>
      <c r="K28" s="44"/>
      <c r="L28" s="44"/>
      <c r="M28" s="44"/>
      <c r="N28" s="44"/>
      <c r="O28" s="44">
        <f t="shared" si="5"/>
        <v>0</v>
      </c>
    </row>
    <row r="29" spans="2:15" x14ac:dyDescent="0.2">
      <c r="B29" s="33">
        <v>7</v>
      </c>
      <c r="C29" s="34" t="s">
        <v>69</v>
      </c>
      <c r="D29" s="44">
        <v>1.3168150000000001</v>
      </c>
      <c r="E29" s="44">
        <v>0</v>
      </c>
      <c r="F29" s="44"/>
      <c r="G29" s="44">
        <v>0</v>
      </c>
      <c r="H29" s="44">
        <v>0</v>
      </c>
      <c r="I29" s="44">
        <f t="shared" si="4"/>
        <v>1.3168150000000001</v>
      </c>
      <c r="J29" s="44">
        <v>1.5668150000000001</v>
      </c>
      <c r="K29" s="44"/>
      <c r="L29" s="44"/>
      <c r="M29" s="44"/>
      <c r="N29" s="44"/>
      <c r="O29" s="44">
        <f t="shared" si="5"/>
        <v>1.5668150000000001</v>
      </c>
    </row>
    <row r="30" spans="2:15" x14ac:dyDescent="0.2">
      <c r="B30" s="33">
        <v>8</v>
      </c>
      <c r="C30" s="34" t="s">
        <v>70</v>
      </c>
      <c r="D30" s="44">
        <v>68655.038800000009</v>
      </c>
      <c r="E30" s="44">
        <v>2491.6937710000002</v>
      </c>
      <c r="F30" s="44">
        <v>38314.9957775</v>
      </c>
      <c r="G30" s="44">
        <v>0</v>
      </c>
      <c r="H30" s="44">
        <v>0</v>
      </c>
      <c r="I30" s="44">
        <f t="shared" si="4"/>
        <v>27848.349251500003</v>
      </c>
      <c r="J30" s="44">
        <v>102132.1931512</v>
      </c>
      <c r="K30" s="44">
        <v>3307.5195428000002</v>
      </c>
      <c r="L30" s="44"/>
      <c r="M30" s="44">
        <v>48397.038062500003</v>
      </c>
      <c r="N30" s="44"/>
      <c r="O30" s="44">
        <f t="shared" si="5"/>
        <v>50427.635545899997</v>
      </c>
    </row>
    <row r="31" spans="2:15" x14ac:dyDescent="0.2">
      <c r="B31" s="33">
        <v>9</v>
      </c>
      <c r="C31" s="34" t="s">
        <v>8</v>
      </c>
      <c r="D31" s="44">
        <v>520401.0477102088</v>
      </c>
      <c r="E31" s="44">
        <v>8470.8203830000002</v>
      </c>
      <c r="F31" s="44">
        <v>76270.613150000005</v>
      </c>
      <c r="G31" s="44">
        <v>0</v>
      </c>
      <c r="H31" s="44">
        <v>0</v>
      </c>
      <c r="I31" s="44">
        <f t="shared" si="4"/>
        <v>435659.6141772088</v>
      </c>
      <c r="J31" s="44">
        <v>304726.8521059</v>
      </c>
      <c r="K31" s="44">
        <v>38228.087794999999</v>
      </c>
      <c r="L31" s="44"/>
      <c r="M31" s="44"/>
      <c r="N31" s="44"/>
      <c r="O31" s="44">
        <f t="shared" si="5"/>
        <v>266498.76431090001</v>
      </c>
    </row>
    <row r="32" spans="2:15" x14ac:dyDescent="0.2">
      <c r="B32" s="33">
        <v>10</v>
      </c>
      <c r="C32" s="34" t="s">
        <v>9</v>
      </c>
      <c r="D32" s="44">
        <v>9034.4078355000001</v>
      </c>
      <c r="E32" s="44">
        <v>0</v>
      </c>
      <c r="F32" s="44">
        <v>0</v>
      </c>
      <c r="G32" s="44">
        <v>0</v>
      </c>
      <c r="H32" s="44">
        <v>0</v>
      </c>
      <c r="I32" s="44">
        <f t="shared" si="4"/>
        <v>9034.4078355000001</v>
      </c>
      <c r="J32" s="44">
        <v>6166.3659109999999</v>
      </c>
      <c r="K32" s="44"/>
      <c r="L32" s="44"/>
      <c r="M32" s="44"/>
      <c r="N32" s="44"/>
      <c r="O32" s="44">
        <f t="shared" si="5"/>
        <v>6166.3659109999999</v>
      </c>
    </row>
    <row r="33" spans="2:15" s="9" customFormat="1" x14ac:dyDescent="0.2">
      <c r="B33" s="36"/>
      <c r="C33" s="35" t="s">
        <v>72</v>
      </c>
      <c r="D33" s="45">
        <f t="shared" ref="D33:O33" si="6">SUM(D23:D32)</f>
        <v>604410.50057210878</v>
      </c>
      <c r="E33" s="45">
        <f t="shared" si="6"/>
        <v>11126.350522500001</v>
      </c>
      <c r="F33" s="45">
        <f t="shared" si="6"/>
        <v>118937.3952065</v>
      </c>
      <c r="G33" s="45">
        <f t="shared" si="6"/>
        <v>0</v>
      </c>
      <c r="H33" s="45">
        <f t="shared" si="6"/>
        <v>0</v>
      </c>
      <c r="I33" s="45">
        <f>SUM(I23:I32)</f>
        <v>474346.75484310882</v>
      </c>
      <c r="J33" s="45">
        <f>SUM(J23:J32)</f>
        <v>553116.8841754999</v>
      </c>
      <c r="K33" s="45">
        <f t="shared" si="6"/>
        <v>97409.876328300001</v>
      </c>
      <c r="L33" s="45">
        <f t="shared" si="6"/>
        <v>0</v>
      </c>
      <c r="M33" s="45">
        <f t="shared" si="6"/>
        <v>126501.025777</v>
      </c>
      <c r="N33" s="45">
        <f t="shared" si="6"/>
        <v>0</v>
      </c>
      <c r="O33" s="45">
        <f t="shared" si="6"/>
        <v>329205.98207019997</v>
      </c>
    </row>
    <row r="34" spans="2:15" x14ac:dyDescent="0.2">
      <c r="B34" s="33"/>
      <c r="C34" s="34"/>
      <c r="D34" s="44"/>
      <c r="E34" s="44"/>
      <c r="F34" s="44"/>
      <c r="G34" s="44"/>
      <c r="H34" s="44"/>
      <c r="I34" s="50"/>
      <c r="J34" s="34"/>
      <c r="K34" s="34"/>
      <c r="L34" s="34"/>
      <c r="M34" s="34"/>
      <c r="N34" s="34"/>
      <c r="O34" s="34"/>
    </row>
    <row r="35" spans="2:15" x14ac:dyDescent="0.2">
      <c r="B35" s="36" t="s">
        <v>54</v>
      </c>
      <c r="C35" s="37" t="s">
        <v>73</v>
      </c>
      <c r="D35" s="44"/>
      <c r="E35" s="44"/>
      <c r="F35" s="44"/>
      <c r="G35" s="44"/>
      <c r="H35" s="44"/>
      <c r="I35" s="50"/>
      <c r="J35" s="34"/>
      <c r="K35" s="34"/>
      <c r="L35" s="34"/>
      <c r="M35" s="34"/>
      <c r="N35" s="34"/>
      <c r="O35" s="34"/>
    </row>
    <row r="36" spans="2:15" x14ac:dyDescent="0.2">
      <c r="B36" s="33">
        <v>1</v>
      </c>
      <c r="C36" s="34" t="s">
        <v>0</v>
      </c>
      <c r="D36" s="44">
        <v>478576.9</v>
      </c>
      <c r="E36" s="44">
        <v>0</v>
      </c>
      <c r="F36" s="44">
        <v>0</v>
      </c>
      <c r="G36" s="44">
        <v>0</v>
      </c>
      <c r="H36" s="44">
        <v>0</v>
      </c>
      <c r="I36" s="44">
        <f t="shared" ref="I36:I41" si="7">D36-E36-F36-G36-H36</f>
        <v>478576.9</v>
      </c>
      <c r="J36" s="44">
        <v>290969.09999999998</v>
      </c>
      <c r="K36" s="44">
        <v>0</v>
      </c>
      <c r="L36" s="44">
        <v>0</v>
      </c>
      <c r="M36" s="44">
        <v>0</v>
      </c>
      <c r="N36" s="44">
        <v>0</v>
      </c>
      <c r="O36" s="44">
        <f t="shared" ref="O36:O41" si="8">J36-K36-L36-M36-N36</f>
        <v>290969.09999999998</v>
      </c>
    </row>
    <row r="37" spans="2:15" x14ac:dyDescent="0.2">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2" thickBot="1" x14ac:dyDescent="0.25">
      <c r="B42" s="46"/>
      <c r="C42" s="38" t="s">
        <v>56</v>
      </c>
      <c r="D42" s="47">
        <f t="shared" ref="D42:H42" si="9">SUM(D36:D41)</f>
        <v>478576.9</v>
      </c>
      <c r="E42" s="47">
        <f t="shared" si="9"/>
        <v>0</v>
      </c>
      <c r="F42" s="47">
        <f t="shared" si="9"/>
        <v>0</v>
      </c>
      <c r="G42" s="47">
        <f t="shared" si="9"/>
        <v>0</v>
      </c>
      <c r="H42" s="47">
        <f t="shared" si="9"/>
        <v>0</v>
      </c>
      <c r="I42" s="47">
        <f>SUM(I36:I41)</f>
        <v>478576.9</v>
      </c>
      <c r="J42" s="47">
        <f t="shared" ref="J42:O42" si="10">SUM(J36:J41)</f>
        <v>290969.09999999998</v>
      </c>
      <c r="K42" s="47">
        <f t="shared" si="10"/>
        <v>0</v>
      </c>
      <c r="L42" s="47">
        <f t="shared" si="10"/>
        <v>0</v>
      </c>
      <c r="M42" s="47">
        <f t="shared" si="10"/>
        <v>0</v>
      </c>
      <c r="N42" s="47">
        <f t="shared" si="10"/>
        <v>0</v>
      </c>
      <c r="O42" s="47">
        <f t="shared" si="10"/>
        <v>290969.09999999998</v>
      </c>
    </row>
    <row r="43" spans="2:15" s="9" customFormat="1" ht="12" thickBot="1" x14ac:dyDescent="0.25">
      <c r="B43" s="282" t="s">
        <v>75</v>
      </c>
      <c r="C43" s="283"/>
      <c r="D43" s="51">
        <f>D20+D33+D42</f>
        <v>26805331.153772108</v>
      </c>
      <c r="E43" s="51">
        <f>E20+E33+E42</f>
        <v>39612.008180500008</v>
      </c>
      <c r="F43" s="51">
        <f t="shared" ref="F43:H43" si="11">F20+F33+F42</f>
        <v>118937.3952065</v>
      </c>
      <c r="G43" s="51">
        <f t="shared" si="11"/>
        <v>63258.181058999995</v>
      </c>
      <c r="H43" s="51">
        <f t="shared" si="11"/>
        <v>0</v>
      </c>
      <c r="I43" s="51">
        <f>I20+I33+I42</f>
        <v>26583523.56932611</v>
      </c>
      <c r="J43" s="48">
        <f>J20+J33+J42</f>
        <v>22276442.860148497</v>
      </c>
      <c r="K43" s="48">
        <f t="shared" ref="K43:O43" si="12">K20+K33+K42</f>
        <v>161546.0539803</v>
      </c>
      <c r="L43" s="48">
        <f t="shared" si="12"/>
        <v>0</v>
      </c>
      <c r="M43" s="48">
        <f t="shared" si="12"/>
        <v>206719.393003</v>
      </c>
      <c r="N43" s="48">
        <f t="shared" si="12"/>
        <v>0</v>
      </c>
      <c r="O43" s="48">
        <f t="shared" si="12"/>
        <v>21908177.413165201</v>
      </c>
    </row>
    <row r="46" spans="2:15" x14ac:dyDescent="0.2">
      <c r="B46" s="3" t="s">
        <v>22</v>
      </c>
      <c r="C46" s="6" t="s">
        <v>125</v>
      </c>
    </row>
    <row r="47" spans="2:15" x14ac:dyDescent="0.2">
      <c r="C47" s="8" t="s">
        <v>76</v>
      </c>
    </row>
  </sheetData>
  <mergeCells count="11">
    <mergeCell ref="B43:C43"/>
    <mergeCell ref="B4:B6"/>
    <mergeCell ref="C4:C6"/>
    <mergeCell ref="D4:I4"/>
    <mergeCell ref="J4:O4"/>
    <mergeCell ref="D5:D6"/>
    <mergeCell ref="E5:H5"/>
    <mergeCell ref="I5:I6"/>
    <mergeCell ref="J5:J6"/>
    <mergeCell ref="K5:N5"/>
    <mergeCell ref="O5:O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election activeCell="F5" sqref="F5"/>
    </sheetView>
  </sheetViews>
  <sheetFormatPr defaultRowHeight="15" x14ac:dyDescent="0.25"/>
  <cols>
    <col min="1" max="1" width="3.42578125" bestFit="1" customWidth="1"/>
    <col min="2" max="2" width="3.5703125" customWidth="1"/>
    <col min="3" max="3" width="11.140625" customWidth="1"/>
  </cols>
  <sheetData>
    <row r="1" spans="1:3" x14ac:dyDescent="0.25">
      <c r="A1" t="s">
        <v>159</v>
      </c>
      <c r="B1" t="s">
        <v>160</v>
      </c>
    </row>
    <row r="2" spans="1:3" x14ac:dyDescent="0.25">
      <c r="B2" s="114" t="s">
        <v>17</v>
      </c>
      <c r="C2" t="s">
        <v>148</v>
      </c>
    </row>
    <row r="3" spans="1:3" x14ac:dyDescent="0.25">
      <c r="C3" t="s">
        <v>155</v>
      </c>
    </row>
    <row r="5" spans="1:3" x14ac:dyDescent="0.25">
      <c r="B5" s="114" t="s">
        <v>22</v>
      </c>
      <c r="C5" t="s">
        <v>238</v>
      </c>
    </row>
    <row r="6" spans="1:3" x14ac:dyDescent="0.25">
      <c r="C6" t="s">
        <v>76</v>
      </c>
    </row>
  </sheetData>
  <pageMargins left="0.7" right="0.7" top="0.75" bottom="0.75" header="0.3" footer="0.3"/>
  <ignoredErrors>
    <ignoredError sqref="B2 B5"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C1" workbookViewId="0">
      <selection activeCell="G10" sqref="G10"/>
    </sheetView>
  </sheetViews>
  <sheetFormatPr defaultRowHeight="15" x14ac:dyDescent="0.25"/>
  <cols>
    <col min="2" max="2" width="4.140625" customWidth="1"/>
    <col min="3" max="3" width="11.140625" customWidth="1"/>
  </cols>
  <sheetData>
    <row r="1" spans="1:3" x14ac:dyDescent="0.25">
      <c r="A1" t="s">
        <v>159</v>
      </c>
      <c r="B1" t="s">
        <v>160</v>
      </c>
    </row>
    <row r="2" spans="1:3" x14ac:dyDescent="0.25">
      <c r="B2" s="114" t="s">
        <v>17</v>
      </c>
      <c r="C2" t="s">
        <v>148</v>
      </c>
    </row>
    <row r="3" spans="1:3" x14ac:dyDescent="0.25">
      <c r="C3" t="s">
        <v>155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showGridLines="0" topLeftCell="C1" zoomScaleNormal="100" workbookViewId="0">
      <pane xSplit="2" ySplit="7" topLeftCell="E8" activePane="bottomRight" state="frozen"/>
      <selection activeCell="C1" sqref="C1"/>
      <selection pane="topRight" activeCell="E1" sqref="E1"/>
      <selection pane="bottomLeft" activeCell="C8" sqref="C8"/>
      <selection pane="bottomRight" activeCell="P34" sqref="P34"/>
    </sheetView>
  </sheetViews>
  <sheetFormatPr defaultColWidth="8.7109375" defaultRowHeight="11.25" x14ac:dyDescent="0.2"/>
  <cols>
    <col min="1" max="1" width="2.140625" style="6" bestFit="1" customWidth="1"/>
    <col min="2" max="2" width="2.42578125" style="6" customWidth="1"/>
    <col min="3" max="3" width="3.42578125" style="22" customWidth="1"/>
    <col min="4" max="4" width="49.140625" style="6" bestFit="1" customWidth="1"/>
    <col min="5" max="6" width="8.7109375" style="6" bestFit="1" customWidth="1"/>
    <col min="7" max="7" width="8.7109375" style="6" customWidth="1"/>
    <col min="8" max="10" width="8.140625" style="6" customWidth="1"/>
    <col min="11" max="11" width="9.5703125" style="6" bestFit="1" customWidth="1"/>
    <col min="12" max="12" width="8.140625" style="6" customWidth="1"/>
    <col min="13" max="13" width="8.7109375" style="6" bestFit="1" customWidth="1"/>
    <col min="14" max="15" width="8.140625" style="6" customWidth="1"/>
    <col min="16" max="16" width="9.5703125" style="6" bestFit="1" customWidth="1"/>
    <col min="17" max="17" width="8.42578125" style="6" customWidth="1"/>
    <col min="18" max="19" width="8.7109375" style="6" bestFit="1" customWidth="1"/>
    <col min="20" max="20" width="8.7109375" style="6" customWidth="1"/>
    <col min="21" max="23" width="8.140625" style="6" customWidth="1"/>
    <col min="24" max="24" width="9.5703125" style="6" bestFit="1" customWidth="1"/>
    <col min="25" max="25" width="8.140625" style="6" customWidth="1"/>
    <col min="26" max="26" width="8.7109375" style="6" bestFit="1" customWidth="1"/>
    <col min="27" max="28" width="8.140625" style="6" customWidth="1"/>
    <col min="29" max="29" width="10.85546875" style="6" bestFit="1" customWidth="1"/>
    <col min="30" max="30" width="8.42578125" style="6" customWidth="1"/>
    <col min="31" max="31" width="8.7109375" style="6"/>
    <col min="32" max="32" width="9.5703125" style="6" bestFit="1" customWidth="1"/>
    <col min="33" max="16384" width="8.7109375" style="6"/>
  </cols>
  <sheetData>
    <row r="1" spans="1:42" x14ac:dyDescent="0.2">
      <c r="A1" s="6" t="s">
        <v>12</v>
      </c>
      <c r="B1" s="6" t="s">
        <v>13</v>
      </c>
    </row>
    <row r="2" spans="1:42" x14ac:dyDescent="0.2">
      <c r="B2" s="6" t="s">
        <v>14</v>
      </c>
      <c r="C2" s="100" t="s">
        <v>15</v>
      </c>
    </row>
    <row r="3" spans="1:42" x14ac:dyDescent="0.2">
      <c r="C3" s="3" t="s">
        <v>17</v>
      </c>
      <c r="D3" s="6" t="s">
        <v>16</v>
      </c>
      <c r="AD3" s="19" t="s">
        <v>239</v>
      </c>
    </row>
    <row r="4" spans="1:42" x14ac:dyDescent="0.2">
      <c r="AC4" s="137" t="s">
        <v>27</v>
      </c>
      <c r="AD4" s="223">
        <v>0.08</v>
      </c>
      <c r="AP4" s="19" t="s">
        <v>57</v>
      </c>
    </row>
    <row r="5" spans="1:42" s="20" customFormat="1" ht="14.45" customHeight="1" x14ac:dyDescent="0.25">
      <c r="C5" s="281" t="s">
        <v>18</v>
      </c>
      <c r="D5" s="281" t="s">
        <v>19</v>
      </c>
      <c r="E5" s="274" t="s">
        <v>249</v>
      </c>
      <c r="F5" s="274"/>
      <c r="G5" s="274"/>
      <c r="H5" s="274"/>
      <c r="I5" s="274"/>
      <c r="J5" s="274"/>
      <c r="K5" s="274"/>
      <c r="L5" s="274"/>
      <c r="M5" s="274"/>
      <c r="N5" s="274"/>
      <c r="O5" s="274"/>
      <c r="P5" s="281" t="s">
        <v>26</v>
      </c>
      <c r="Q5" s="280" t="s">
        <v>27</v>
      </c>
      <c r="R5" s="274" t="s">
        <v>247</v>
      </c>
      <c r="S5" s="274"/>
      <c r="T5" s="274"/>
      <c r="U5" s="274"/>
      <c r="V5" s="274"/>
      <c r="W5" s="274"/>
      <c r="X5" s="274"/>
      <c r="Y5" s="274"/>
      <c r="Z5" s="274"/>
      <c r="AA5" s="274"/>
      <c r="AB5" s="274"/>
      <c r="AC5" s="281" t="s">
        <v>26</v>
      </c>
      <c r="AD5" s="280" t="s">
        <v>27</v>
      </c>
    </row>
    <row r="6" spans="1:42" s="20" customFormat="1" x14ac:dyDescent="0.25">
      <c r="C6" s="281"/>
      <c r="D6" s="281"/>
      <c r="E6" s="281" t="s">
        <v>24</v>
      </c>
      <c r="F6" s="281"/>
      <c r="G6" s="281"/>
      <c r="H6" s="281"/>
      <c r="I6" s="281"/>
      <c r="J6" s="281"/>
      <c r="K6" s="281"/>
      <c r="L6" s="281"/>
      <c r="M6" s="281"/>
      <c r="N6" s="281"/>
      <c r="O6" s="281"/>
      <c r="P6" s="281"/>
      <c r="Q6" s="280"/>
      <c r="R6" s="281" t="s">
        <v>24</v>
      </c>
      <c r="S6" s="281"/>
      <c r="T6" s="281"/>
      <c r="U6" s="281"/>
      <c r="V6" s="281"/>
      <c r="W6" s="281"/>
      <c r="X6" s="281"/>
      <c r="Y6" s="281"/>
      <c r="Z6" s="281"/>
      <c r="AA6" s="281"/>
      <c r="AB6" s="281"/>
      <c r="AC6" s="281"/>
      <c r="AD6" s="280"/>
    </row>
    <row r="7" spans="1:42" s="21" customFormat="1" x14ac:dyDescent="0.25">
      <c r="C7" s="281"/>
      <c r="D7" s="281"/>
      <c r="E7" s="101">
        <v>0</v>
      </c>
      <c r="F7" s="101">
        <v>0.2</v>
      </c>
      <c r="G7" s="101">
        <v>0.25</v>
      </c>
      <c r="H7" s="101">
        <v>0.35</v>
      </c>
      <c r="I7" s="101">
        <v>0.4</v>
      </c>
      <c r="J7" s="101">
        <v>0.45</v>
      </c>
      <c r="K7" s="101">
        <v>0.5</v>
      </c>
      <c r="L7" s="101">
        <v>0.75</v>
      </c>
      <c r="M7" s="101">
        <v>1</v>
      </c>
      <c r="N7" s="101">
        <v>1.5</v>
      </c>
      <c r="O7" s="247" t="s">
        <v>25</v>
      </c>
      <c r="P7" s="281"/>
      <c r="Q7" s="280"/>
      <c r="R7" s="101">
        <v>0</v>
      </c>
      <c r="S7" s="101">
        <v>0.2</v>
      </c>
      <c r="T7" s="101">
        <v>0.25</v>
      </c>
      <c r="U7" s="101">
        <v>0.35</v>
      </c>
      <c r="V7" s="101">
        <v>0.4</v>
      </c>
      <c r="W7" s="101">
        <v>0.45</v>
      </c>
      <c r="X7" s="101">
        <v>0.5</v>
      </c>
      <c r="Y7" s="101">
        <v>0.75</v>
      </c>
      <c r="Z7" s="101">
        <v>1</v>
      </c>
      <c r="AA7" s="101">
        <v>1.5</v>
      </c>
      <c r="AB7" s="247" t="s">
        <v>25</v>
      </c>
      <c r="AC7" s="281"/>
      <c r="AD7" s="280"/>
    </row>
    <row r="8" spans="1:42" s="11" customFormat="1" ht="12" customHeight="1" x14ac:dyDescent="0.25">
      <c r="C8" s="7" t="s">
        <v>17</v>
      </c>
      <c r="D8" s="7" t="s">
        <v>22</v>
      </c>
      <c r="E8" s="7" t="s">
        <v>28</v>
      </c>
      <c r="F8" s="7" t="s">
        <v>29</v>
      </c>
      <c r="G8" s="7"/>
      <c r="H8" s="7" t="s">
        <v>30</v>
      </c>
      <c r="I8" s="7" t="s">
        <v>31</v>
      </c>
      <c r="J8" s="7" t="s">
        <v>32</v>
      </c>
      <c r="K8" s="7" t="s">
        <v>33</v>
      </c>
      <c r="L8" s="7" t="s">
        <v>34</v>
      </c>
      <c r="M8" s="7" t="s">
        <v>35</v>
      </c>
      <c r="N8" s="7" t="s">
        <v>36</v>
      </c>
      <c r="O8" s="7" t="s">
        <v>37</v>
      </c>
      <c r="P8" s="7" t="s">
        <v>38</v>
      </c>
      <c r="Q8" s="7" t="s">
        <v>39</v>
      </c>
      <c r="R8" s="7" t="s">
        <v>40</v>
      </c>
      <c r="S8" s="7" t="s">
        <v>41</v>
      </c>
      <c r="T8" s="7"/>
      <c r="U8" s="7" t="s">
        <v>42</v>
      </c>
      <c r="V8" s="7" t="s">
        <v>43</v>
      </c>
      <c r="W8" s="7" t="s">
        <v>44</v>
      </c>
      <c r="X8" s="7" t="s">
        <v>45</v>
      </c>
      <c r="Y8" s="7" t="s">
        <v>46</v>
      </c>
      <c r="Z8" s="7" t="s">
        <v>47</v>
      </c>
      <c r="AA8" s="7" t="s">
        <v>48</v>
      </c>
      <c r="AB8" s="7" t="s">
        <v>49</v>
      </c>
      <c r="AC8" s="7" t="s">
        <v>50</v>
      </c>
      <c r="AD8" s="7" t="s">
        <v>50</v>
      </c>
    </row>
    <row r="9" spans="1:42" s="13" customFormat="1" x14ac:dyDescent="0.2">
      <c r="C9" s="14" t="s">
        <v>20</v>
      </c>
      <c r="D9" s="15" t="s">
        <v>21</v>
      </c>
      <c r="E9" s="15"/>
      <c r="F9" s="15"/>
      <c r="G9" s="15"/>
      <c r="H9" s="15"/>
      <c r="I9" s="15"/>
      <c r="J9" s="15"/>
      <c r="K9" s="15"/>
      <c r="L9" s="15"/>
      <c r="M9" s="15"/>
      <c r="N9" s="15"/>
      <c r="O9" s="15"/>
      <c r="P9" s="25"/>
      <c r="Q9" s="25"/>
      <c r="R9" s="25"/>
      <c r="S9" s="25"/>
      <c r="T9" s="25"/>
      <c r="U9" s="25"/>
      <c r="V9" s="25"/>
      <c r="W9" s="25"/>
      <c r="X9" s="25"/>
      <c r="Y9" s="25"/>
      <c r="Z9" s="25"/>
      <c r="AA9" s="25"/>
      <c r="AB9" s="25"/>
      <c r="AC9" s="25"/>
      <c r="AD9" s="25"/>
    </row>
    <row r="10" spans="1:42" x14ac:dyDescent="0.2">
      <c r="C10" s="246">
        <v>1</v>
      </c>
      <c r="D10" s="17" t="s">
        <v>0</v>
      </c>
      <c r="E10" s="24">
        <v>5235538.180524</v>
      </c>
      <c r="F10" s="24">
        <v>0</v>
      </c>
      <c r="G10" s="24">
        <v>0</v>
      </c>
      <c r="H10" s="24">
        <v>0</v>
      </c>
      <c r="I10" s="24">
        <v>0</v>
      </c>
      <c r="J10" s="24">
        <v>0</v>
      </c>
      <c r="K10" s="24">
        <v>0</v>
      </c>
      <c r="L10" s="24">
        <v>0</v>
      </c>
      <c r="M10" s="24">
        <v>0</v>
      </c>
      <c r="N10" s="24">
        <v>0</v>
      </c>
      <c r="O10" s="24">
        <v>0</v>
      </c>
      <c r="P10" s="181">
        <f>($R$7*E10)+($S$7*F10)+($T$7*G10)+($U$7*H10)+($V$7*I10)+($W$7*J10)+($X$7*K10)+($Y$7*L10)+($Z$7*M10)+($AA$7*N10)</f>
        <v>0</v>
      </c>
      <c r="Q10" s="24">
        <f>P10*$AD$4</f>
        <v>0</v>
      </c>
      <c r="R10" s="24">
        <v>5103844.1384089999</v>
      </c>
      <c r="S10" s="24">
        <v>0</v>
      </c>
      <c r="T10" s="24">
        <v>0</v>
      </c>
      <c r="U10" s="24">
        <v>0</v>
      </c>
      <c r="V10" s="24">
        <v>0</v>
      </c>
      <c r="W10" s="24">
        <v>0</v>
      </c>
      <c r="X10" s="24">
        <v>0</v>
      </c>
      <c r="Y10" s="24">
        <v>0</v>
      </c>
      <c r="Z10" s="24">
        <v>0</v>
      </c>
      <c r="AA10" s="24">
        <v>0</v>
      </c>
      <c r="AB10" s="24">
        <v>0</v>
      </c>
      <c r="AC10" s="24">
        <f>R10*R7</f>
        <v>0</v>
      </c>
      <c r="AD10" s="24">
        <f>AC10*$AD$4</f>
        <v>0</v>
      </c>
    </row>
    <row r="11" spans="1:42" x14ac:dyDescent="0.2">
      <c r="C11" s="246">
        <v>2</v>
      </c>
      <c r="D11" s="17" t="s">
        <v>1</v>
      </c>
      <c r="E11" s="24">
        <v>0</v>
      </c>
      <c r="F11" s="24">
        <v>0</v>
      </c>
      <c r="G11" s="24">
        <v>0</v>
      </c>
      <c r="H11" s="24">
        <v>0</v>
      </c>
      <c r="I11" s="24">
        <v>0</v>
      </c>
      <c r="J11" s="24">
        <v>0</v>
      </c>
      <c r="K11" s="24">
        <v>0</v>
      </c>
      <c r="L11" s="24">
        <v>0</v>
      </c>
      <c r="M11" s="24">
        <v>0</v>
      </c>
      <c r="N11" s="24">
        <v>0</v>
      </c>
      <c r="O11" s="24">
        <v>0</v>
      </c>
      <c r="P11" s="181">
        <f>($R$7*E11)+($S$7*F11)+($T$7*G11)+($U$7*H11)+($V$7*I11)+($W$7*J11)+($X$7*K11)+($Y$7*L11)+($Z$7*M11)+($AA$7*N11)</f>
        <v>0</v>
      </c>
      <c r="Q11" s="27">
        <f>P11*$AD$4</f>
        <v>0</v>
      </c>
      <c r="R11" s="24">
        <v>0</v>
      </c>
      <c r="S11" s="24">
        <v>10789.5</v>
      </c>
      <c r="T11" s="24">
        <v>0</v>
      </c>
      <c r="U11" s="24">
        <v>0</v>
      </c>
      <c r="V11" s="24">
        <v>0</v>
      </c>
      <c r="W11" s="24">
        <v>0</v>
      </c>
      <c r="X11" s="24">
        <v>0</v>
      </c>
      <c r="Y11" s="24">
        <v>0</v>
      </c>
      <c r="Z11" s="24">
        <v>0</v>
      </c>
      <c r="AA11" s="24">
        <v>0</v>
      </c>
      <c r="AB11" s="24">
        <v>0</v>
      </c>
      <c r="AC11" s="181">
        <f>($R$7*R11)+($S$7*S11)+($T$7*T11)+($U$7*U11)+($V$7*V11)+($W$7*W11)+($X$7*X11)+($Y$7*Y11)+($Z$7*Z11)+($AA$7*AA11)</f>
        <v>2157.9</v>
      </c>
      <c r="AD11" s="24">
        <f>AC11*$AD$4</f>
        <v>172.63200000000001</v>
      </c>
    </row>
    <row r="12" spans="1:42" x14ac:dyDescent="0.2">
      <c r="C12" s="246">
        <v>3</v>
      </c>
      <c r="D12" s="17" t="s">
        <v>2</v>
      </c>
      <c r="E12" s="24">
        <v>0</v>
      </c>
      <c r="F12" s="24">
        <v>0</v>
      </c>
      <c r="G12" s="24">
        <v>0</v>
      </c>
      <c r="H12" s="24">
        <v>0</v>
      </c>
      <c r="I12" s="24">
        <v>0</v>
      </c>
      <c r="J12" s="24">
        <v>0</v>
      </c>
      <c r="K12" s="24">
        <v>428.70259199999998</v>
      </c>
      <c r="L12" s="24">
        <v>0</v>
      </c>
      <c r="M12" s="24">
        <v>0</v>
      </c>
      <c r="N12" s="24">
        <v>0</v>
      </c>
      <c r="O12" s="24">
        <v>0</v>
      </c>
      <c r="P12" s="181">
        <f t="shared" ref="P12:P13" si="0">($R$7*E12)+($S$7*F12)+($T$7*G12)+($U$7*H12)+($V$7*I12)+($W$7*J12)+($X$7*K12)+($Y$7*L12)+($Z$7*M12)+($AA$7*N12)</f>
        <v>214.35129599999999</v>
      </c>
      <c r="Q12" s="24">
        <f t="shared" ref="Q12:Q20" si="1">P12*$AD$4</f>
        <v>17.148103679999998</v>
      </c>
      <c r="R12" s="24">
        <v>0</v>
      </c>
      <c r="S12" s="24">
        <v>0</v>
      </c>
      <c r="T12" s="24">
        <v>0</v>
      </c>
      <c r="U12" s="24">
        <v>0</v>
      </c>
      <c r="V12" s="24">
        <v>0</v>
      </c>
      <c r="W12" s="24">
        <v>0</v>
      </c>
      <c r="X12" s="24">
        <v>0</v>
      </c>
      <c r="Y12" s="24">
        <v>0</v>
      </c>
      <c r="Z12" s="24">
        <v>0</v>
      </c>
      <c r="AA12" s="24">
        <v>0</v>
      </c>
      <c r="AB12" s="24">
        <v>0</v>
      </c>
      <c r="AC12" s="181">
        <f t="shared" ref="AC12:AC20" si="2">($R$7*R12)+($S$7*S12)+($T$7*T12)+($U$7*U12)+($V$7*V12)+($W$7*W12)+($X$7*X12)+($Y$7*Y12)+($Z$7*Z12)+($AA$7*AA12)</f>
        <v>0</v>
      </c>
      <c r="AD12" s="24">
        <f t="shared" ref="AD12:AD20" si="3">AC12*$AD$4</f>
        <v>0</v>
      </c>
    </row>
    <row r="13" spans="1:42" x14ac:dyDescent="0.2">
      <c r="C13" s="246">
        <v>4</v>
      </c>
      <c r="D13" s="17" t="s">
        <v>3</v>
      </c>
      <c r="E13" s="24">
        <v>0</v>
      </c>
      <c r="F13" s="24">
        <f>1689724.961105+158942.459384+198667.35977</f>
        <v>2047334.7802589999</v>
      </c>
      <c r="G13" s="24">
        <v>0</v>
      </c>
      <c r="H13" s="24">
        <v>0</v>
      </c>
      <c r="I13" s="24">
        <v>0</v>
      </c>
      <c r="J13" s="24">
        <v>0</v>
      </c>
      <c r="K13" s="24">
        <f>40058.3+45005.021341</f>
        <v>85063.321341000003</v>
      </c>
      <c r="L13" s="24">
        <v>0</v>
      </c>
      <c r="M13" s="24">
        <v>0</v>
      </c>
      <c r="N13" s="24">
        <v>0</v>
      </c>
      <c r="O13" s="24">
        <v>0</v>
      </c>
      <c r="P13" s="181">
        <f t="shared" si="0"/>
        <v>451998.61672230001</v>
      </c>
      <c r="Q13" s="24">
        <f t="shared" si="1"/>
        <v>36159.889337784</v>
      </c>
      <c r="R13" s="24">
        <v>0</v>
      </c>
      <c r="S13" s="24">
        <f>3581816.096907+18697.082822+248007.806536</f>
        <v>3848520.986265</v>
      </c>
      <c r="T13" s="24">
        <v>0</v>
      </c>
      <c r="U13" s="24">
        <v>0</v>
      </c>
      <c r="V13" s="24">
        <v>0</v>
      </c>
      <c r="W13" s="24">
        <v>0</v>
      </c>
      <c r="X13" s="24">
        <f>50099.4+45755.084341</f>
        <v>95854.484341000003</v>
      </c>
      <c r="Y13" s="24">
        <v>0</v>
      </c>
      <c r="Z13" s="24">
        <v>0</v>
      </c>
      <c r="AA13" s="24">
        <v>0</v>
      </c>
      <c r="AB13" s="24">
        <v>0</v>
      </c>
      <c r="AC13" s="181">
        <f t="shared" si="2"/>
        <v>817631.43942349998</v>
      </c>
      <c r="AD13" s="24">
        <f t="shared" si="3"/>
        <v>65410.515153879998</v>
      </c>
    </row>
    <row r="14" spans="1:42" x14ac:dyDescent="0.2">
      <c r="C14" s="246">
        <v>5</v>
      </c>
      <c r="D14" s="17" t="s">
        <v>4</v>
      </c>
      <c r="E14" s="24">
        <v>0</v>
      </c>
      <c r="F14" s="24">
        <v>43198.288073000003</v>
      </c>
      <c r="G14" s="24">
        <v>59498.179382000002</v>
      </c>
      <c r="H14" s="24">
        <v>500753.494022</v>
      </c>
      <c r="I14" s="24">
        <v>0</v>
      </c>
      <c r="J14" s="24">
        <v>0</v>
      </c>
      <c r="K14" s="24">
        <v>0</v>
      </c>
      <c r="L14" s="24">
        <v>0</v>
      </c>
      <c r="M14" s="24">
        <v>0</v>
      </c>
      <c r="N14" s="24">
        <v>0</v>
      </c>
      <c r="O14" s="24">
        <v>0</v>
      </c>
      <c r="P14" s="181">
        <f>($R$7*E14)+($S$7*F14)+($T$7*G14)+($U$7*H14)+($V$7*I14)+($W$7*J14)+($X$7*K14)+($Y$7*L14)+($Z$7*M14)+($AA$7*N14)</f>
        <v>198777.9253678</v>
      </c>
      <c r="Q14" s="24">
        <f t="shared" si="1"/>
        <v>15902.234029424</v>
      </c>
      <c r="R14" s="24">
        <v>0</v>
      </c>
      <c r="S14" s="24">
        <v>43671.848561999992</v>
      </c>
      <c r="T14" s="24">
        <v>61193.158232000002</v>
      </c>
      <c r="U14" s="24">
        <v>491882.830954</v>
      </c>
      <c r="V14" s="24">
        <v>0</v>
      </c>
      <c r="W14" s="24">
        <v>0</v>
      </c>
      <c r="X14" s="24">
        <v>0</v>
      </c>
      <c r="Y14" s="24">
        <v>0</v>
      </c>
      <c r="Z14" s="24">
        <v>0</v>
      </c>
      <c r="AA14" s="24">
        <v>0</v>
      </c>
      <c r="AB14" s="24">
        <v>0</v>
      </c>
      <c r="AC14" s="181">
        <f t="shared" si="2"/>
        <v>196191.6501043</v>
      </c>
      <c r="AD14" s="24">
        <f>AC14*$AD$4</f>
        <v>15695.332008344001</v>
      </c>
    </row>
    <row r="15" spans="1:42" x14ac:dyDescent="0.2">
      <c r="C15" s="246">
        <v>6</v>
      </c>
      <c r="D15" s="17" t="s">
        <v>5</v>
      </c>
      <c r="E15" s="24">
        <v>0</v>
      </c>
      <c r="F15" s="24">
        <v>0</v>
      </c>
      <c r="G15" s="24">
        <v>0</v>
      </c>
      <c r="H15" s="24">
        <v>0</v>
      </c>
      <c r="I15" s="24">
        <v>0</v>
      </c>
      <c r="J15" s="24">
        <v>0</v>
      </c>
      <c r="K15" s="24">
        <v>0</v>
      </c>
      <c r="L15" s="24">
        <v>0</v>
      </c>
      <c r="M15" s="24">
        <v>278805.32694499998</v>
      </c>
      <c r="N15" s="24">
        <v>0</v>
      </c>
      <c r="O15" s="24">
        <v>0</v>
      </c>
      <c r="P15" s="181">
        <f>($R$7*E15)+($S$7*F15)+($T$7*G15)+($U$7*H15)+($V$7*I15)+($W$7*J15)+($X$7*K15)+($Y$7*L15)+($Z$7*M15)+($AA$7*N15)</f>
        <v>278805.32694499998</v>
      </c>
      <c r="Q15" s="24">
        <f>P15*$AD$4</f>
        <v>22304.426155599998</v>
      </c>
      <c r="R15" s="24">
        <v>0</v>
      </c>
      <c r="S15" s="24">
        <v>0</v>
      </c>
      <c r="T15" s="24">
        <v>0</v>
      </c>
      <c r="U15" s="24">
        <v>0</v>
      </c>
      <c r="V15" s="24">
        <v>0</v>
      </c>
      <c r="W15" s="24">
        <v>0</v>
      </c>
      <c r="X15" s="24">
        <v>0</v>
      </c>
      <c r="Y15" s="24">
        <v>0</v>
      </c>
      <c r="Z15" s="24">
        <v>150930.65102399999</v>
      </c>
      <c r="AA15" s="24">
        <v>0</v>
      </c>
      <c r="AB15" s="24">
        <v>0</v>
      </c>
      <c r="AC15" s="181">
        <f t="shared" si="2"/>
        <v>150930.65102399999</v>
      </c>
      <c r="AD15" s="24">
        <f t="shared" si="3"/>
        <v>12074.452081919999</v>
      </c>
    </row>
    <row r="16" spans="1:42" x14ac:dyDescent="0.2">
      <c r="C16" s="246">
        <v>7</v>
      </c>
      <c r="D16" s="17" t="s">
        <v>6</v>
      </c>
      <c r="E16" s="24">
        <v>4230.2142880000001</v>
      </c>
      <c r="F16" s="24">
        <v>0</v>
      </c>
      <c r="G16" s="24">
        <v>0</v>
      </c>
      <c r="H16" s="24">
        <v>0</v>
      </c>
      <c r="I16" s="24">
        <v>0</v>
      </c>
      <c r="J16" s="24">
        <v>0</v>
      </c>
      <c r="K16" s="24">
        <v>11636753.324739</v>
      </c>
      <c r="L16" s="24">
        <v>0</v>
      </c>
      <c r="M16" s="24">
        <v>0</v>
      </c>
      <c r="N16" s="24">
        <v>0</v>
      </c>
      <c r="O16" s="24">
        <v>0</v>
      </c>
      <c r="P16" s="181">
        <f t="shared" ref="P16:P18" si="4">($R$7*E16)+($S$7*F16)+($T$7*G16)+($U$7*H16)+($V$7*I16)+($W$7*J16)+($X$7*K16)+($Y$7*L16)+($Z$7*M16)+($AA$7*N16)</f>
        <v>5818376.6623694999</v>
      </c>
      <c r="Q16" s="24">
        <f t="shared" si="1"/>
        <v>465470.13298956002</v>
      </c>
      <c r="R16" s="24">
        <v>4542.1743470000001</v>
      </c>
      <c r="S16" s="24">
        <v>0</v>
      </c>
      <c r="T16" s="24">
        <v>0</v>
      </c>
      <c r="U16" s="24">
        <v>0</v>
      </c>
      <c r="V16" s="24">
        <v>0</v>
      </c>
      <c r="W16" s="24">
        <v>0</v>
      </c>
      <c r="X16" s="24">
        <v>11305212.441056</v>
      </c>
      <c r="Y16" s="24">
        <v>0</v>
      </c>
      <c r="Z16" s="24">
        <v>0</v>
      </c>
      <c r="AA16" s="24">
        <v>0</v>
      </c>
      <c r="AB16" s="24">
        <v>0</v>
      </c>
      <c r="AC16" s="181">
        <f t="shared" si="2"/>
        <v>5652606.220528</v>
      </c>
      <c r="AD16" s="24">
        <f t="shared" si="3"/>
        <v>452208.49764224002</v>
      </c>
    </row>
    <row r="17" spans="3:32" x14ac:dyDescent="0.2">
      <c r="C17" s="246">
        <v>8</v>
      </c>
      <c r="D17" s="17" t="s">
        <v>7</v>
      </c>
      <c r="E17" s="24">
        <v>4494.6578689999997</v>
      </c>
      <c r="F17" s="24">
        <v>34238.596012000002</v>
      </c>
      <c r="G17" s="24">
        <v>0</v>
      </c>
      <c r="H17" s="24">
        <v>0</v>
      </c>
      <c r="I17" s="24">
        <v>0</v>
      </c>
      <c r="J17" s="24">
        <v>0</v>
      </c>
      <c r="K17" s="24">
        <v>0</v>
      </c>
      <c r="L17" s="24">
        <v>884507.90674700006</v>
      </c>
      <c r="M17" s="24">
        <v>0</v>
      </c>
      <c r="N17" s="24">
        <v>0</v>
      </c>
      <c r="O17" s="24">
        <v>0</v>
      </c>
      <c r="P17" s="181">
        <f t="shared" si="4"/>
        <v>670228.64926264994</v>
      </c>
      <c r="Q17" s="24">
        <f t="shared" si="1"/>
        <v>53618.291941011994</v>
      </c>
      <c r="R17" s="24">
        <v>5150.2682459999996</v>
      </c>
      <c r="S17" s="24">
        <v>35288.429084000003</v>
      </c>
      <c r="T17" s="24">
        <v>0</v>
      </c>
      <c r="U17" s="24">
        <v>0</v>
      </c>
      <c r="V17" s="24">
        <v>0</v>
      </c>
      <c r="W17" s="24">
        <v>0</v>
      </c>
      <c r="X17" s="24">
        <v>0</v>
      </c>
      <c r="Y17" s="24">
        <v>939229.83099100005</v>
      </c>
      <c r="Z17" s="24">
        <v>0</v>
      </c>
      <c r="AA17" s="24">
        <v>0</v>
      </c>
      <c r="AB17" s="24">
        <v>0</v>
      </c>
      <c r="AC17" s="181">
        <f t="shared" si="2"/>
        <v>711480.05906005006</v>
      </c>
      <c r="AD17" s="24">
        <f t="shared" si="3"/>
        <v>56918.404724804008</v>
      </c>
    </row>
    <row r="18" spans="3:32" x14ac:dyDescent="0.2">
      <c r="C18" s="246">
        <v>9</v>
      </c>
      <c r="D18" s="17" t="s">
        <v>8</v>
      </c>
      <c r="E18" s="24">
        <v>21027.454343000001</v>
      </c>
      <c r="F18" s="24">
        <f>24747.5575+24.75</f>
        <v>24772.307499999999</v>
      </c>
      <c r="G18" s="24">
        <v>0</v>
      </c>
      <c r="H18" s="24">
        <v>0</v>
      </c>
      <c r="I18" s="24">
        <v>0</v>
      </c>
      <c r="J18" s="24">
        <v>0</v>
      </c>
      <c r="K18" s="24">
        <v>122000</v>
      </c>
      <c r="L18" s="24">
        <v>0</v>
      </c>
      <c r="M18" s="24">
        <v>3761695.6148890001</v>
      </c>
      <c r="N18" s="24">
        <v>0</v>
      </c>
      <c r="O18" s="24">
        <v>0</v>
      </c>
      <c r="P18" s="181">
        <f t="shared" si="4"/>
        <v>3827650.0763890003</v>
      </c>
      <c r="Q18" s="24">
        <f t="shared" si="1"/>
        <v>306212.00611112005</v>
      </c>
      <c r="R18" s="24">
        <v>22105.433846</v>
      </c>
      <c r="S18" s="24">
        <f>23199.28375+24.75</f>
        <v>23224.033749999999</v>
      </c>
      <c r="T18" s="24">
        <v>0</v>
      </c>
      <c r="U18" s="24">
        <v>0</v>
      </c>
      <c r="V18" s="24">
        <v>0</v>
      </c>
      <c r="W18" s="24">
        <v>0</v>
      </c>
      <c r="X18" s="24">
        <v>822000</v>
      </c>
      <c r="Y18" s="24">
        <v>0</v>
      </c>
      <c r="Z18" s="24">
        <v>4012678.928638</v>
      </c>
      <c r="AA18" s="24">
        <v>0</v>
      </c>
      <c r="AB18" s="24">
        <v>0</v>
      </c>
      <c r="AC18" s="181">
        <f t="shared" si="2"/>
        <v>4428323.7353879996</v>
      </c>
      <c r="AD18" s="24">
        <f t="shared" si="3"/>
        <v>354265.89883103996</v>
      </c>
    </row>
    <row r="19" spans="3:32" x14ac:dyDescent="0.2">
      <c r="C19" s="246">
        <v>10</v>
      </c>
      <c r="D19" s="17" t="s">
        <v>9</v>
      </c>
      <c r="E19" s="24">
        <v>0</v>
      </c>
      <c r="F19" s="24">
        <v>232.62728899999999</v>
      </c>
      <c r="G19" s="24">
        <v>0</v>
      </c>
      <c r="H19" s="24">
        <v>0</v>
      </c>
      <c r="I19" s="24">
        <v>0</v>
      </c>
      <c r="J19" s="24">
        <v>0</v>
      </c>
      <c r="K19" s="24">
        <v>0</v>
      </c>
      <c r="L19" s="24">
        <v>0</v>
      </c>
      <c r="M19" s="24">
        <v>51762.398475999988</v>
      </c>
      <c r="N19" s="24">
        <v>191043.78870800007</v>
      </c>
      <c r="O19" s="24">
        <v>0</v>
      </c>
      <c r="P19" s="181">
        <f>($R$7*E19)+($S$7*F19)+($T$7*G19)+($U$7*H19)+($V$7*I19)+($W$7*J19)+($X$7*K19)+($Y$7*L19)+($Z$7*M19)+($AA$7*N19)</f>
        <v>338374.60699580004</v>
      </c>
      <c r="Q19" s="24">
        <f t="shared" si="1"/>
        <v>27069.968559664005</v>
      </c>
      <c r="R19" s="24">
        <v>0</v>
      </c>
      <c r="S19" s="24">
        <v>88.026071999999999</v>
      </c>
      <c r="T19" s="24">
        <v>0</v>
      </c>
      <c r="U19" s="24">
        <v>0</v>
      </c>
      <c r="V19" s="24">
        <v>0</v>
      </c>
      <c r="W19" s="24">
        <v>0</v>
      </c>
      <c r="X19" s="24">
        <v>0</v>
      </c>
      <c r="Y19" s="24">
        <v>0</v>
      </c>
      <c r="Z19" s="24">
        <v>23295.931020000004</v>
      </c>
      <c r="AA19" s="24">
        <v>204591.03139999995</v>
      </c>
      <c r="AB19" s="24">
        <v>0</v>
      </c>
      <c r="AC19" s="181">
        <f t="shared" si="2"/>
        <v>330200.08333439991</v>
      </c>
      <c r="AD19" s="24">
        <f t="shared" si="3"/>
        <v>26416.006666751993</v>
      </c>
    </row>
    <row r="20" spans="3:32" x14ac:dyDescent="0.2">
      <c r="C20" s="246">
        <v>11</v>
      </c>
      <c r="D20" s="17" t="s">
        <v>10</v>
      </c>
      <c r="E20" s="24">
        <v>726013.648239</v>
      </c>
      <c r="F20" s="24">
        <v>0</v>
      </c>
      <c r="G20" s="24">
        <v>0</v>
      </c>
      <c r="H20" s="24">
        <v>0</v>
      </c>
      <c r="I20" s="24">
        <v>0</v>
      </c>
      <c r="J20" s="24">
        <v>0</v>
      </c>
      <c r="K20" s="24">
        <v>0</v>
      </c>
      <c r="L20" s="24">
        <v>0</v>
      </c>
      <c r="M20" s="24">
        <v>1792534.9156610002</v>
      </c>
      <c r="N20" s="24">
        <v>0</v>
      </c>
      <c r="O20" s="24">
        <v>0</v>
      </c>
      <c r="P20" s="181">
        <f>($R$7*E20)+($S$7*F20)+($T$7*G20)+($U$7*H20)+($V$7*I20)+($W$7*J20)+($X$7*K20)+($Y$7*L20)+($Z$7*M20)+($AA$7*N20)</f>
        <v>1792534.9156610002</v>
      </c>
      <c r="Q20" s="24">
        <f t="shared" si="1"/>
        <v>143402.79325288002</v>
      </c>
      <c r="R20" s="24">
        <v>523583.79815400002</v>
      </c>
      <c r="S20" s="24">
        <v>0</v>
      </c>
      <c r="T20" s="24">
        <v>0</v>
      </c>
      <c r="U20" s="24">
        <v>0</v>
      </c>
      <c r="V20" s="24">
        <v>0</v>
      </c>
      <c r="W20" s="24">
        <v>0</v>
      </c>
      <c r="X20" s="24">
        <v>0</v>
      </c>
      <c r="Y20" s="24">
        <v>0</v>
      </c>
      <c r="Z20" s="24">
        <v>1843396.6704620002</v>
      </c>
      <c r="AA20" s="24">
        <v>0</v>
      </c>
      <c r="AB20" s="24">
        <v>0</v>
      </c>
      <c r="AC20" s="181">
        <f t="shared" si="2"/>
        <v>1843396.6704620002</v>
      </c>
      <c r="AD20" s="24">
        <f t="shared" si="3"/>
        <v>147471.73363696001</v>
      </c>
    </row>
    <row r="21" spans="3:32" s="9" customFormat="1" x14ac:dyDescent="0.2">
      <c r="C21" s="10"/>
      <c r="D21" s="18" t="s">
        <v>51</v>
      </c>
      <c r="E21" s="26">
        <f>SUM(E10:E20)</f>
        <v>5991304.1552630002</v>
      </c>
      <c r="F21" s="26">
        <f t="shared" ref="F21:O21" si="5">SUM(F10:F20)</f>
        <v>2149776.5991330002</v>
      </c>
      <c r="G21" s="26">
        <f t="shared" si="5"/>
        <v>59498.179382000002</v>
      </c>
      <c r="H21" s="26">
        <f t="shared" si="5"/>
        <v>500753.494022</v>
      </c>
      <c r="I21" s="26">
        <f t="shared" si="5"/>
        <v>0</v>
      </c>
      <c r="J21" s="26">
        <f t="shared" si="5"/>
        <v>0</v>
      </c>
      <c r="K21" s="26">
        <f t="shared" si="5"/>
        <v>11844245.348672001</v>
      </c>
      <c r="L21" s="26">
        <f>SUM(L10:L20)</f>
        <v>884507.90674700006</v>
      </c>
      <c r="M21" s="26">
        <f>SUM(M10:M20)</f>
        <v>5884798.2559709996</v>
      </c>
      <c r="N21" s="26">
        <f>SUM(N10:N20)</f>
        <v>191043.78870800007</v>
      </c>
      <c r="O21" s="26">
        <f t="shared" si="5"/>
        <v>0</v>
      </c>
      <c r="P21" s="26">
        <f>SUM(P10:P20)</f>
        <v>13376961.13100905</v>
      </c>
      <c r="Q21" s="26">
        <f>SUM(Q10:Q20)</f>
        <v>1070156.8904807242</v>
      </c>
      <c r="R21" s="26">
        <f>SUM(R10:R20)</f>
        <v>5659225.8130019996</v>
      </c>
      <c r="S21" s="26">
        <f t="shared" ref="S21:AB21" si="6">SUM(S10:S20)</f>
        <v>3961582.8237330001</v>
      </c>
      <c r="T21" s="26">
        <f t="shared" si="6"/>
        <v>61193.158232000002</v>
      </c>
      <c r="U21" s="26">
        <f t="shared" si="6"/>
        <v>491882.830954</v>
      </c>
      <c r="V21" s="26">
        <f t="shared" si="6"/>
        <v>0</v>
      </c>
      <c r="W21" s="26">
        <f t="shared" si="6"/>
        <v>0</v>
      </c>
      <c r="X21" s="26">
        <f t="shared" si="6"/>
        <v>12223066.925396999</v>
      </c>
      <c r="Y21" s="26">
        <f t="shared" si="6"/>
        <v>939229.83099100005</v>
      </c>
      <c r="Z21" s="26">
        <f t="shared" si="6"/>
        <v>6030302.181144</v>
      </c>
      <c r="AA21" s="26">
        <f t="shared" si="6"/>
        <v>204591.03139999995</v>
      </c>
      <c r="AB21" s="26">
        <f t="shared" si="6"/>
        <v>0</v>
      </c>
      <c r="AC21" s="26">
        <f>SUM(AC10:AC20)</f>
        <v>14132918.409324247</v>
      </c>
      <c r="AD21" s="26">
        <f t="shared" ref="AD21" si="7">SUM(AD10:AD20)</f>
        <v>1130633.4727459399</v>
      </c>
    </row>
    <row r="22" spans="3:32" x14ac:dyDescent="0.2">
      <c r="C22" s="246"/>
      <c r="D22" s="16"/>
      <c r="E22" s="24"/>
      <c r="F22" s="24"/>
      <c r="G22" s="24"/>
      <c r="H22" s="24"/>
      <c r="I22" s="24"/>
      <c r="J22" s="24"/>
      <c r="K22" s="24"/>
      <c r="L22" s="24"/>
      <c r="M22" s="24"/>
      <c r="N22" s="24"/>
      <c r="O22" s="24"/>
      <c r="P22" s="24"/>
      <c r="Q22" s="24"/>
      <c r="R22" s="16"/>
      <c r="S22" s="16"/>
      <c r="T22" s="16"/>
      <c r="U22" s="16"/>
      <c r="V22" s="16"/>
      <c r="W22" s="16"/>
      <c r="X22" s="16"/>
      <c r="Y22" s="16"/>
      <c r="Z22" s="16"/>
      <c r="AA22" s="16"/>
      <c r="AB22" s="16"/>
      <c r="AC22" s="16"/>
      <c r="AD22" s="16"/>
    </row>
    <row r="23" spans="3:32" s="13" customFormat="1" x14ac:dyDescent="0.2">
      <c r="C23" s="14" t="s">
        <v>52</v>
      </c>
      <c r="D23" s="15" t="s">
        <v>53</v>
      </c>
      <c r="E23" s="25"/>
      <c r="F23" s="25"/>
      <c r="G23" s="25"/>
      <c r="H23" s="25"/>
      <c r="I23" s="25"/>
      <c r="J23" s="25"/>
      <c r="K23" s="25"/>
      <c r="L23" s="25"/>
      <c r="M23" s="25"/>
      <c r="N23" s="25"/>
      <c r="O23" s="25"/>
      <c r="P23" s="25"/>
      <c r="Q23" s="25"/>
      <c r="R23" s="15"/>
      <c r="S23" s="15"/>
      <c r="T23" s="15"/>
      <c r="U23" s="15"/>
      <c r="V23" s="15"/>
      <c r="W23" s="15"/>
      <c r="X23" s="15"/>
      <c r="Y23" s="15"/>
      <c r="Z23" s="15"/>
      <c r="AA23" s="15"/>
      <c r="AB23" s="15"/>
      <c r="AC23" s="15"/>
      <c r="AD23" s="15"/>
    </row>
    <row r="24" spans="3:32" x14ac:dyDescent="0.2">
      <c r="C24" s="246">
        <v>1</v>
      </c>
      <c r="D24" s="17" t="s">
        <v>0</v>
      </c>
      <c r="E24" s="24">
        <v>464.26898660000001</v>
      </c>
      <c r="F24" s="24">
        <v>0</v>
      </c>
      <c r="G24" s="24">
        <v>0</v>
      </c>
      <c r="H24" s="24">
        <v>0</v>
      </c>
      <c r="I24" s="24">
        <v>0</v>
      </c>
      <c r="J24" s="24">
        <v>0</v>
      </c>
      <c r="K24" s="24">
        <v>0</v>
      </c>
      <c r="L24" s="24">
        <v>0</v>
      </c>
      <c r="M24" s="24">
        <v>0</v>
      </c>
      <c r="N24" s="24">
        <v>0</v>
      </c>
      <c r="O24" s="24">
        <v>0</v>
      </c>
      <c r="P24" s="181">
        <f>($R$7*E24)+($S$7*F24)+($T$7*G24)+($U$7*H24)+($V$7*I24)+($W$7*J24)+($X$7*K24)+($Y$7*L24)+($Z$7*M24)+($AA$7*N24)</f>
        <v>0</v>
      </c>
      <c r="Q24" s="24">
        <f>P24*$AD$4</f>
        <v>0</v>
      </c>
      <c r="R24" s="24">
        <v>23850.906921200003</v>
      </c>
      <c r="S24" s="24">
        <v>0</v>
      </c>
      <c r="T24" s="24">
        <v>0</v>
      </c>
      <c r="U24" s="24">
        <v>0</v>
      </c>
      <c r="V24" s="24">
        <v>0</v>
      </c>
      <c r="W24" s="24">
        <v>0</v>
      </c>
      <c r="X24" s="24">
        <v>0</v>
      </c>
      <c r="Y24" s="24">
        <v>0</v>
      </c>
      <c r="Z24" s="24">
        <v>0</v>
      </c>
      <c r="AA24" s="24">
        <v>0</v>
      </c>
      <c r="AB24" s="24">
        <v>0</v>
      </c>
      <c r="AC24" s="181">
        <f>($R$7*R24)+($S$7*S24)+($T$7*T24)+($U$7*U24)+($V$7*V24)+($W$7*W24)+($X$7*X24)+($Y$7*Y24)+($Z$7*Z24)+($AA$7*AA24)</f>
        <v>0</v>
      </c>
      <c r="AD24" s="24">
        <f>AC24*$AD$4</f>
        <v>0</v>
      </c>
      <c r="AF24" s="119">
        <f>AC21+AC34</f>
        <v>14331676.405874722</v>
      </c>
    </row>
    <row r="25" spans="3:32" x14ac:dyDescent="0.2">
      <c r="C25" s="246">
        <v>2</v>
      </c>
      <c r="D25" s="17" t="s">
        <v>1</v>
      </c>
      <c r="E25" s="24">
        <v>6.3418749999999999</v>
      </c>
      <c r="F25" s="24">
        <v>0</v>
      </c>
      <c r="G25" s="24">
        <v>0</v>
      </c>
      <c r="H25" s="24">
        <v>0</v>
      </c>
      <c r="I25" s="24">
        <v>0</v>
      </c>
      <c r="J25" s="24">
        <v>0</v>
      </c>
      <c r="K25" s="24">
        <f>14.0977749999997+2198.183672</f>
        <v>2212.2814469999998</v>
      </c>
      <c r="L25" s="24">
        <v>0</v>
      </c>
      <c r="M25" s="24">
        <v>0</v>
      </c>
      <c r="N25" s="24">
        <v>0</v>
      </c>
      <c r="O25" s="24">
        <v>0</v>
      </c>
      <c r="P25" s="181">
        <f t="shared" ref="P25:P33" si="8">($R$7*E25)+($S$7*F25)+($T$7*G25)+($U$7*H25)+($V$7*I25)+($W$7*J25)+($X$7*K25)+($Y$7*L25)+($Z$7*M25)+($AA$7*N25)</f>
        <v>1106.1407234999999</v>
      </c>
      <c r="Q25" s="24">
        <f t="shared" ref="Q25:Q33" si="9">P25*$AD$4</f>
        <v>88.491257879999992</v>
      </c>
      <c r="R25" s="24">
        <v>0</v>
      </c>
      <c r="S25" s="24">
        <v>0</v>
      </c>
      <c r="T25" s="24">
        <v>0</v>
      </c>
      <c r="U25" s="24">
        <v>0</v>
      </c>
      <c r="V25" s="24">
        <v>0</v>
      </c>
      <c r="W25" s="24">
        <v>0</v>
      </c>
      <c r="X25" s="24">
        <f>2447.89648</f>
        <v>2447.8964799999999</v>
      </c>
      <c r="Y25" s="24">
        <v>0</v>
      </c>
      <c r="Z25" s="24">
        <v>0</v>
      </c>
      <c r="AA25" s="24">
        <v>0</v>
      </c>
      <c r="AB25" s="24">
        <v>0</v>
      </c>
      <c r="AC25" s="181">
        <f>($R$7*R25)+($S$7*S25)+($T$7*T25)+($U$7*U25)+($V$7*V25)+($W$7*W25)+($X$7*X25)+($Y$7*Y25)+($Z$7*Z25)+($AA$7*AA25)</f>
        <v>1223.9482399999999</v>
      </c>
      <c r="AD25" s="27">
        <f>AC25*$AD$4</f>
        <v>97.9158592</v>
      </c>
    </row>
    <row r="26" spans="3:32" x14ac:dyDescent="0.2">
      <c r="C26" s="246">
        <v>3</v>
      </c>
      <c r="D26" s="17" t="s">
        <v>2</v>
      </c>
      <c r="E26" s="24">
        <v>0</v>
      </c>
      <c r="F26" s="24">
        <v>0</v>
      </c>
      <c r="G26" s="24">
        <v>0</v>
      </c>
      <c r="H26" s="24">
        <v>0</v>
      </c>
      <c r="I26" s="24">
        <v>0</v>
      </c>
      <c r="J26" s="24">
        <v>0</v>
      </c>
      <c r="K26" s="24">
        <v>0</v>
      </c>
      <c r="L26" s="24">
        <v>0</v>
      </c>
      <c r="M26" s="24">
        <v>0</v>
      </c>
      <c r="N26" s="24">
        <v>0</v>
      </c>
      <c r="O26" s="24">
        <v>0</v>
      </c>
      <c r="P26" s="181">
        <f t="shared" si="8"/>
        <v>0</v>
      </c>
      <c r="Q26" s="24">
        <f t="shared" si="9"/>
        <v>0</v>
      </c>
      <c r="R26" s="24">
        <v>0</v>
      </c>
      <c r="S26" s="24">
        <v>0</v>
      </c>
      <c r="T26" s="24">
        <v>0</v>
      </c>
      <c r="U26" s="24">
        <v>0</v>
      </c>
      <c r="V26" s="24">
        <v>0</v>
      </c>
      <c r="W26" s="24">
        <v>0</v>
      </c>
      <c r="X26" s="24">
        <v>0</v>
      </c>
      <c r="Y26" s="24">
        <v>0</v>
      </c>
      <c r="Z26" s="24">
        <v>0</v>
      </c>
      <c r="AA26" s="24">
        <v>0</v>
      </c>
      <c r="AB26" s="24">
        <v>0</v>
      </c>
      <c r="AC26" s="181">
        <f t="shared" ref="AC26:AC32" si="10">($R$7*R26)+($S$7*S26)+($T$7*T26)+($U$7*U26)+($V$7*V26)+($W$7*W26)+($X$7*X26)+($Y$7*Y26)+($Z$7*Z26)+($AA$7*AA26)</f>
        <v>0</v>
      </c>
      <c r="AD26" s="24">
        <f t="shared" ref="AD26:AD33" si="11">AC26*$AD$4</f>
        <v>0</v>
      </c>
    </row>
    <row r="27" spans="3:32" x14ac:dyDescent="0.2">
      <c r="C27" s="246">
        <v>4</v>
      </c>
      <c r="D27" s="17" t="s">
        <v>3</v>
      </c>
      <c r="E27" s="24">
        <v>0</v>
      </c>
      <c r="F27" s="24">
        <v>0</v>
      </c>
      <c r="G27" s="24">
        <v>0</v>
      </c>
      <c r="H27" s="24">
        <v>0</v>
      </c>
      <c r="I27" s="24">
        <v>0</v>
      </c>
      <c r="J27" s="24">
        <v>0</v>
      </c>
      <c r="K27" s="24">
        <v>0</v>
      </c>
      <c r="L27" s="24">
        <v>0</v>
      </c>
      <c r="M27" s="24">
        <v>0</v>
      </c>
      <c r="N27" s="24">
        <v>0</v>
      </c>
      <c r="O27" s="24">
        <v>0</v>
      </c>
      <c r="P27" s="181">
        <f t="shared" si="8"/>
        <v>0</v>
      </c>
      <c r="Q27" s="24">
        <f t="shared" si="9"/>
        <v>0</v>
      </c>
      <c r="R27" s="24">
        <v>0</v>
      </c>
      <c r="S27" s="24">
        <v>0</v>
      </c>
      <c r="T27" s="24">
        <v>0</v>
      </c>
      <c r="U27" s="24">
        <v>0</v>
      </c>
      <c r="V27" s="24">
        <v>0</v>
      </c>
      <c r="W27" s="24">
        <v>0</v>
      </c>
      <c r="X27" s="24">
        <v>0</v>
      </c>
      <c r="Y27" s="24">
        <v>0</v>
      </c>
      <c r="Z27" s="24">
        <v>0</v>
      </c>
      <c r="AA27" s="24">
        <v>0</v>
      </c>
      <c r="AB27" s="24">
        <v>0</v>
      </c>
      <c r="AC27" s="181">
        <f t="shared" si="10"/>
        <v>0</v>
      </c>
      <c r="AD27" s="24">
        <f t="shared" si="11"/>
        <v>0</v>
      </c>
    </row>
    <row r="28" spans="3:32" x14ac:dyDescent="0.2">
      <c r="C28" s="246">
        <v>5</v>
      </c>
      <c r="D28" s="17" t="s">
        <v>4</v>
      </c>
      <c r="E28" s="24">
        <v>0</v>
      </c>
      <c r="F28" s="24">
        <v>0</v>
      </c>
      <c r="G28" s="24">
        <v>0</v>
      </c>
      <c r="H28" s="24">
        <v>0</v>
      </c>
      <c r="I28" s="24">
        <v>0</v>
      </c>
      <c r="J28" s="24">
        <v>0</v>
      </c>
      <c r="K28" s="24">
        <v>0</v>
      </c>
      <c r="L28" s="24">
        <v>0</v>
      </c>
      <c r="M28" s="24">
        <v>0</v>
      </c>
      <c r="N28" s="24">
        <v>0</v>
      </c>
      <c r="O28" s="24">
        <v>0</v>
      </c>
      <c r="P28" s="181">
        <f t="shared" si="8"/>
        <v>0</v>
      </c>
      <c r="Q28" s="24">
        <f t="shared" si="9"/>
        <v>0</v>
      </c>
      <c r="R28" s="24">
        <v>0</v>
      </c>
      <c r="S28" s="24">
        <v>0</v>
      </c>
      <c r="T28" s="24">
        <v>0</v>
      </c>
      <c r="U28" s="24">
        <v>0</v>
      </c>
      <c r="V28" s="24">
        <v>0</v>
      </c>
      <c r="W28" s="24">
        <v>0</v>
      </c>
      <c r="X28" s="24">
        <v>0</v>
      </c>
      <c r="Y28" s="24">
        <v>0</v>
      </c>
      <c r="Z28" s="24">
        <v>0</v>
      </c>
      <c r="AA28" s="24">
        <v>0</v>
      </c>
      <c r="AB28" s="24">
        <v>0</v>
      </c>
      <c r="AC28" s="181">
        <f t="shared" si="10"/>
        <v>0</v>
      </c>
      <c r="AD28" s="24">
        <f t="shared" si="11"/>
        <v>0</v>
      </c>
    </row>
    <row r="29" spans="3:32" x14ac:dyDescent="0.2">
      <c r="C29" s="246">
        <v>6</v>
      </c>
      <c r="D29" s="17" t="s">
        <v>5</v>
      </c>
      <c r="E29" s="24">
        <v>0</v>
      </c>
      <c r="F29" s="24">
        <v>0</v>
      </c>
      <c r="G29" s="24">
        <v>0</v>
      </c>
      <c r="H29" s="24">
        <v>0</v>
      </c>
      <c r="I29" s="24">
        <v>0</v>
      </c>
      <c r="J29" s="24">
        <v>0</v>
      </c>
      <c r="K29" s="24">
        <v>0</v>
      </c>
      <c r="L29" s="24">
        <v>0</v>
      </c>
      <c r="M29" s="24">
        <v>0</v>
      </c>
      <c r="N29" s="24">
        <v>0</v>
      </c>
      <c r="O29" s="24">
        <v>0</v>
      </c>
      <c r="P29" s="181">
        <f t="shared" si="8"/>
        <v>0</v>
      </c>
      <c r="Q29" s="24">
        <f t="shared" si="9"/>
        <v>0</v>
      </c>
      <c r="R29" s="24">
        <v>0</v>
      </c>
      <c r="S29" s="24">
        <v>0</v>
      </c>
      <c r="T29" s="24">
        <v>0</v>
      </c>
      <c r="U29" s="24">
        <v>0</v>
      </c>
      <c r="V29" s="24">
        <v>0</v>
      </c>
      <c r="W29" s="24">
        <v>0</v>
      </c>
      <c r="X29" s="24">
        <v>0</v>
      </c>
      <c r="Y29" s="24">
        <v>0</v>
      </c>
      <c r="Z29" s="24">
        <v>0</v>
      </c>
      <c r="AA29" s="24">
        <v>0</v>
      </c>
      <c r="AB29" s="24">
        <v>0</v>
      </c>
      <c r="AC29" s="181">
        <f t="shared" si="10"/>
        <v>0</v>
      </c>
      <c r="AD29" s="24">
        <f t="shared" si="11"/>
        <v>0</v>
      </c>
    </row>
    <row r="30" spans="3:32" x14ac:dyDescent="0.2">
      <c r="C30" s="246">
        <v>7</v>
      </c>
      <c r="D30" s="17" t="s">
        <v>6</v>
      </c>
      <c r="E30" s="24">
        <v>0</v>
      </c>
      <c r="F30" s="24">
        <v>0</v>
      </c>
      <c r="G30" s="24">
        <v>0</v>
      </c>
      <c r="H30" s="24">
        <v>0</v>
      </c>
      <c r="I30" s="24">
        <v>0</v>
      </c>
      <c r="J30" s="24">
        <v>0</v>
      </c>
      <c r="K30" s="24">
        <v>0</v>
      </c>
      <c r="L30" s="24">
        <v>0</v>
      </c>
      <c r="M30" s="24">
        <v>0</v>
      </c>
      <c r="N30" s="24">
        <v>0</v>
      </c>
      <c r="O30" s="24">
        <v>0</v>
      </c>
      <c r="P30" s="181">
        <f t="shared" si="8"/>
        <v>0</v>
      </c>
      <c r="Q30" s="24">
        <f t="shared" si="9"/>
        <v>0</v>
      </c>
      <c r="R30" s="24">
        <v>0</v>
      </c>
      <c r="S30" s="24">
        <v>0</v>
      </c>
      <c r="T30" s="24">
        <v>0</v>
      </c>
      <c r="U30" s="24">
        <v>0</v>
      </c>
      <c r="V30" s="24">
        <v>0</v>
      </c>
      <c r="W30" s="24">
        <v>0</v>
      </c>
      <c r="X30" s="24">
        <v>0</v>
      </c>
      <c r="Y30" s="24">
        <v>0</v>
      </c>
      <c r="Z30" s="24">
        <v>0</v>
      </c>
      <c r="AA30" s="24">
        <v>0</v>
      </c>
      <c r="AB30" s="24">
        <v>0</v>
      </c>
      <c r="AC30" s="181">
        <f t="shared" si="10"/>
        <v>0</v>
      </c>
      <c r="AD30" s="24">
        <f t="shared" si="11"/>
        <v>0</v>
      </c>
    </row>
    <row r="31" spans="3:32" x14ac:dyDescent="0.2">
      <c r="C31" s="246">
        <v>8</v>
      </c>
      <c r="D31" s="17" t="s">
        <v>7</v>
      </c>
      <c r="E31" s="24">
        <v>3817.4638715000001</v>
      </c>
      <c r="F31" s="24">
        <v>0</v>
      </c>
      <c r="G31" s="24">
        <v>0</v>
      </c>
      <c r="H31" s="24">
        <v>0</v>
      </c>
      <c r="I31" s="24">
        <v>0</v>
      </c>
      <c r="J31" s="24">
        <v>0</v>
      </c>
      <c r="K31" s="24">
        <v>26520.974862499999</v>
      </c>
      <c r="L31" s="24">
        <v>20439.769027800005</v>
      </c>
      <c r="M31" s="24">
        <v>0</v>
      </c>
      <c r="N31" s="24">
        <v>0</v>
      </c>
      <c r="O31" s="24">
        <v>0</v>
      </c>
      <c r="P31" s="181">
        <f t="shared" si="8"/>
        <v>28590.314202100002</v>
      </c>
      <c r="Q31" s="24">
        <f t="shared" si="9"/>
        <v>2287.2251361680001</v>
      </c>
      <c r="R31" s="24">
        <v>1872.69092</v>
      </c>
      <c r="S31" s="24">
        <v>0</v>
      </c>
      <c r="T31" s="24">
        <v>0</v>
      </c>
      <c r="U31" s="24">
        <v>0</v>
      </c>
      <c r="V31" s="24">
        <v>0</v>
      </c>
      <c r="W31" s="24">
        <v>0</v>
      </c>
      <c r="X31" s="24">
        <v>32960.346439499997</v>
      </c>
      <c r="Y31" s="24">
        <v>23448.233731700006</v>
      </c>
      <c r="Z31" s="24">
        <v>0</v>
      </c>
      <c r="AA31" s="24">
        <v>0</v>
      </c>
      <c r="AB31" s="24">
        <v>0</v>
      </c>
      <c r="AC31" s="181">
        <f t="shared" si="10"/>
        <v>34066.348518525003</v>
      </c>
      <c r="AD31" s="24">
        <f t="shared" si="11"/>
        <v>2725.3078814820001</v>
      </c>
    </row>
    <row r="32" spans="3:32" x14ac:dyDescent="0.2">
      <c r="C32" s="246">
        <v>9</v>
      </c>
      <c r="D32" s="17" t="s">
        <v>8</v>
      </c>
      <c r="E32" s="24">
        <v>53.381307999999997</v>
      </c>
      <c r="F32" s="24">
        <v>0</v>
      </c>
      <c r="G32" s="24">
        <v>0</v>
      </c>
      <c r="H32" s="24">
        <v>0</v>
      </c>
      <c r="I32" s="24">
        <v>0</v>
      </c>
      <c r="J32" s="24">
        <v>0</v>
      </c>
      <c r="K32" s="24">
        <v>27878.757931</v>
      </c>
      <c r="L32" s="24">
        <v>0</v>
      </c>
      <c r="M32" s="24">
        <v>117150.1129586</v>
      </c>
      <c r="N32" s="24">
        <v>0</v>
      </c>
      <c r="O32" s="24">
        <v>0</v>
      </c>
      <c r="P32" s="181">
        <f t="shared" si="8"/>
        <v>131089.4919241</v>
      </c>
      <c r="Q32" s="24">
        <f t="shared" si="9"/>
        <v>10487.159353928</v>
      </c>
      <c r="R32" s="24">
        <v>113.26725500000001</v>
      </c>
      <c r="S32" s="24">
        <v>0</v>
      </c>
      <c r="T32" s="24">
        <v>0</v>
      </c>
      <c r="U32" s="24">
        <v>0</v>
      </c>
      <c r="V32" s="24">
        <v>0</v>
      </c>
      <c r="W32" s="24">
        <v>0</v>
      </c>
      <c r="X32" s="24">
        <v>19700.478102500001</v>
      </c>
      <c r="Y32" s="24">
        <v>0</v>
      </c>
      <c r="Z32" s="24">
        <v>149850.28731419999</v>
      </c>
      <c r="AA32" s="24">
        <v>0</v>
      </c>
      <c r="AB32" s="24">
        <v>0</v>
      </c>
      <c r="AC32" s="181">
        <f t="shared" si="10"/>
        <v>159700.52636545</v>
      </c>
      <c r="AD32" s="24">
        <f t="shared" si="11"/>
        <v>12776.042109236001</v>
      </c>
    </row>
    <row r="33" spans="3:30" x14ac:dyDescent="0.2">
      <c r="C33" s="246">
        <v>10</v>
      </c>
      <c r="D33" s="17" t="s">
        <v>9</v>
      </c>
      <c r="E33" s="24">
        <v>0</v>
      </c>
      <c r="F33" s="24">
        <v>0</v>
      </c>
      <c r="G33" s="24">
        <v>0</v>
      </c>
      <c r="H33" s="24">
        <v>0</v>
      </c>
      <c r="I33" s="24">
        <v>0</v>
      </c>
      <c r="J33" s="24">
        <v>0</v>
      </c>
      <c r="K33" s="24">
        <v>0</v>
      </c>
      <c r="L33" s="24">
        <v>0</v>
      </c>
      <c r="M33" s="24">
        <v>0</v>
      </c>
      <c r="N33" s="24">
        <v>72203.411806000004</v>
      </c>
      <c r="O33" s="24">
        <v>0</v>
      </c>
      <c r="P33" s="181">
        <f t="shared" si="8"/>
        <v>108305.11770900001</v>
      </c>
      <c r="Q33" s="24">
        <f t="shared" si="9"/>
        <v>8664.4094167200019</v>
      </c>
      <c r="R33" s="24">
        <v>0</v>
      </c>
      <c r="S33" s="24">
        <v>0</v>
      </c>
      <c r="T33" s="24">
        <v>0</v>
      </c>
      <c r="U33" s="24">
        <v>0</v>
      </c>
      <c r="V33" s="24">
        <v>0</v>
      </c>
      <c r="W33" s="24">
        <v>0</v>
      </c>
      <c r="X33" s="24">
        <v>0</v>
      </c>
      <c r="Y33" s="24">
        <v>0</v>
      </c>
      <c r="Z33" s="24">
        <v>0</v>
      </c>
      <c r="AA33" s="24">
        <v>2511.4489509999999</v>
      </c>
      <c r="AB33" s="24">
        <v>0</v>
      </c>
      <c r="AC33" s="181">
        <f>($R$7*R33)+($S$7*S33)+($T$7*T33)+($U$7*U33)+($V$7*V33)+($W$7*W33)+($X$7*X33)+($Y$7*Y33)+($Z$7*Z33)+($AA$7*AA33)</f>
        <v>3767.1734264999996</v>
      </c>
      <c r="AD33" s="24">
        <f t="shared" si="11"/>
        <v>301.37387411999998</v>
      </c>
    </row>
    <row r="34" spans="3:30" s="9" customFormat="1" x14ac:dyDescent="0.2">
      <c r="C34" s="10"/>
      <c r="D34" s="18" t="s">
        <v>51</v>
      </c>
      <c r="E34" s="26">
        <f>SUM(E24:E33)</f>
        <v>4341.4560411000002</v>
      </c>
      <c r="F34" s="26">
        <f t="shared" ref="F34:O34" si="12">SUM(F24:F33)</f>
        <v>0</v>
      </c>
      <c r="G34" s="26">
        <v>0</v>
      </c>
      <c r="H34" s="26">
        <f t="shared" si="12"/>
        <v>0</v>
      </c>
      <c r="I34" s="26">
        <f t="shared" si="12"/>
        <v>0</v>
      </c>
      <c r="J34" s="26">
        <f t="shared" si="12"/>
        <v>0</v>
      </c>
      <c r="K34" s="26">
        <f t="shared" si="12"/>
        <v>56612.014240500001</v>
      </c>
      <c r="L34" s="26">
        <f t="shared" si="12"/>
        <v>20439.769027800005</v>
      </c>
      <c r="M34" s="26">
        <f t="shared" si="12"/>
        <v>117150.1129586</v>
      </c>
      <c r="N34" s="26">
        <f t="shared" si="12"/>
        <v>72203.411806000004</v>
      </c>
      <c r="O34" s="26">
        <f t="shared" si="12"/>
        <v>0</v>
      </c>
      <c r="P34" s="26">
        <f>SUM(P24:P33)</f>
        <v>269091.06455870002</v>
      </c>
      <c r="Q34" s="26">
        <f t="shared" ref="Q34" si="13">SUM(Q24:Q33)</f>
        <v>21527.285164696004</v>
      </c>
      <c r="R34" s="26">
        <f>SUM(R24:R33)</f>
        <v>25836.865096200003</v>
      </c>
      <c r="S34" s="26">
        <f>SUM(S24:S33)</f>
        <v>0</v>
      </c>
      <c r="T34" s="26">
        <f>SUM(T24:T33)</f>
        <v>0</v>
      </c>
      <c r="U34" s="26">
        <f>SUM(U24:U33)</f>
        <v>0</v>
      </c>
      <c r="V34" s="26">
        <f t="shared" ref="V34:AB34" si="14">SUM(V24:V33)</f>
        <v>0</v>
      </c>
      <c r="W34" s="26">
        <f t="shared" si="14"/>
        <v>0</v>
      </c>
      <c r="X34" s="26">
        <f t="shared" si="14"/>
        <v>55108.721021999998</v>
      </c>
      <c r="Y34" s="26">
        <f t="shared" si="14"/>
        <v>23448.233731700006</v>
      </c>
      <c r="Z34" s="26">
        <f t="shared" si="14"/>
        <v>149850.28731419999</v>
      </c>
      <c r="AA34" s="26">
        <f t="shared" si="14"/>
        <v>2511.4489509999999</v>
      </c>
      <c r="AB34" s="26">
        <f t="shared" si="14"/>
        <v>0</v>
      </c>
      <c r="AC34" s="26">
        <f>SUM(AC24:AC33)</f>
        <v>198757.99655047501</v>
      </c>
      <c r="AD34" s="26">
        <f t="shared" ref="AD34" si="15">SUM(AD24:AD33)</f>
        <v>15900.639724038001</v>
      </c>
    </row>
    <row r="35" spans="3:30" x14ac:dyDescent="0.2">
      <c r="C35" s="246"/>
      <c r="D35" s="16"/>
      <c r="E35" s="24"/>
      <c r="F35" s="24"/>
      <c r="G35" s="24"/>
      <c r="H35" s="24"/>
      <c r="I35" s="24"/>
      <c r="J35" s="24"/>
      <c r="K35" s="24"/>
      <c r="L35" s="24"/>
      <c r="M35" s="24"/>
      <c r="N35" s="24"/>
      <c r="O35" s="24"/>
      <c r="P35" s="24"/>
      <c r="Q35" s="24"/>
      <c r="R35" s="16"/>
      <c r="S35" s="16"/>
      <c r="T35" s="16"/>
      <c r="U35" s="16"/>
      <c r="V35" s="16"/>
      <c r="W35" s="16"/>
      <c r="X35" s="16"/>
      <c r="Y35" s="16"/>
      <c r="Z35" s="16"/>
      <c r="AA35" s="16"/>
      <c r="AB35" s="16"/>
      <c r="AC35" s="16"/>
      <c r="AD35" s="16"/>
    </row>
    <row r="36" spans="3:30" s="13" customFormat="1" x14ac:dyDescent="0.2">
      <c r="C36" s="14" t="s">
        <v>54</v>
      </c>
      <c r="D36" s="15" t="s">
        <v>55</v>
      </c>
      <c r="E36" s="25"/>
      <c r="F36" s="25"/>
      <c r="G36" s="25"/>
      <c r="H36" s="25"/>
      <c r="I36" s="25"/>
      <c r="J36" s="25"/>
      <c r="K36" s="25"/>
      <c r="L36" s="25"/>
      <c r="M36" s="25"/>
      <c r="N36" s="25"/>
      <c r="O36" s="25"/>
      <c r="P36" s="25"/>
      <c r="Q36" s="25"/>
      <c r="R36" s="15"/>
      <c r="S36" s="15"/>
      <c r="T36" s="15"/>
      <c r="U36" s="15"/>
      <c r="V36" s="15"/>
      <c r="W36" s="15"/>
      <c r="X36" s="15"/>
      <c r="Y36" s="15"/>
      <c r="Z36" s="15"/>
      <c r="AA36" s="15"/>
      <c r="AB36" s="15"/>
      <c r="AC36" s="15"/>
      <c r="AD36" s="15"/>
    </row>
    <row r="37" spans="3:30" x14ac:dyDescent="0.2">
      <c r="C37" s="246">
        <v>1</v>
      </c>
      <c r="D37" s="17" t="s">
        <v>0</v>
      </c>
      <c r="E37" s="24">
        <v>871960.74054000003</v>
      </c>
      <c r="F37" s="24">
        <v>0</v>
      </c>
      <c r="G37" s="24">
        <v>0</v>
      </c>
      <c r="H37" s="24">
        <v>0</v>
      </c>
      <c r="I37" s="24">
        <v>0</v>
      </c>
      <c r="J37" s="24">
        <v>0</v>
      </c>
      <c r="K37" s="24">
        <v>0</v>
      </c>
      <c r="L37" s="24">
        <v>0</v>
      </c>
      <c r="M37" s="24">
        <v>0</v>
      </c>
      <c r="N37" s="24">
        <v>0</v>
      </c>
      <c r="O37" s="24">
        <v>0</v>
      </c>
      <c r="P37" s="24">
        <f t="shared" ref="P37:P43" si="16">($R$7*E37)+($S$7*F37)+($U$7*H37)+($V$7*I37)+($W$7*J37)+($X$7*K37)+($Y$7*L37)+($Z$7*M37)+($AA$7*N37)</f>
        <v>0</v>
      </c>
      <c r="Q37" s="24">
        <f t="shared" ref="Q37:Q43" si="17">P37*$AD$4</f>
        <v>0</v>
      </c>
      <c r="R37" s="24">
        <v>615949.23628700001</v>
      </c>
      <c r="S37" s="24">
        <v>0</v>
      </c>
      <c r="T37" s="24">
        <v>0</v>
      </c>
      <c r="U37" s="24">
        <v>0</v>
      </c>
      <c r="V37" s="24">
        <v>0</v>
      </c>
      <c r="W37" s="24">
        <v>0</v>
      </c>
      <c r="X37" s="24">
        <v>0</v>
      </c>
      <c r="Y37" s="24">
        <v>0</v>
      </c>
      <c r="Z37" s="24">
        <v>0</v>
      </c>
      <c r="AA37" s="24">
        <v>0</v>
      </c>
      <c r="AB37" s="24">
        <v>0</v>
      </c>
      <c r="AC37" s="24">
        <f t="shared" ref="AC37:AC44" si="18">($R$7*R37)+($S$7*S37)+($U$7*U37)+($V$7*V37)+($W$7*W37)+($X$7*X37)+($Y$7*Y37)+($Z$7*Z37)+($AA$7*AA37)</f>
        <v>0</v>
      </c>
      <c r="AD37" s="24">
        <f t="shared" ref="AD37:AD43" si="19">AC37*$AD$4</f>
        <v>0</v>
      </c>
    </row>
    <row r="38" spans="3:30" x14ac:dyDescent="0.2">
      <c r="C38" s="246">
        <v>2</v>
      </c>
      <c r="D38" s="17" t="s">
        <v>1</v>
      </c>
      <c r="E38" s="24">
        <v>0</v>
      </c>
      <c r="F38" s="24">
        <v>0</v>
      </c>
      <c r="G38" s="24">
        <v>0</v>
      </c>
      <c r="H38" s="24">
        <v>0</v>
      </c>
      <c r="I38" s="24">
        <v>0</v>
      </c>
      <c r="J38" s="24">
        <v>0</v>
      </c>
      <c r="K38" s="24">
        <v>0</v>
      </c>
      <c r="L38" s="24">
        <v>0</v>
      </c>
      <c r="M38" s="24">
        <v>0</v>
      </c>
      <c r="N38" s="24">
        <v>0</v>
      </c>
      <c r="O38" s="24">
        <v>0</v>
      </c>
      <c r="P38" s="24">
        <f t="shared" si="16"/>
        <v>0</v>
      </c>
      <c r="Q38" s="24">
        <f t="shared" si="17"/>
        <v>0</v>
      </c>
      <c r="R38" s="24">
        <v>0</v>
      </c>
      <c r="S38" s="24">
        <v>0</v>
      </c>
      <c r="T38" s="24">
        <v>0</v>
      </c>
      <c r="U38" s="24">
        <v>0</v>
      </c>
      <c r="V38" s="24">
        <v>0</v>
      </c>
      <c r="W38" s="24">
        <v>0</v>
      </c>
      <c r="X38" s="24">
        <v>0</v>
      </c>
      <c r="Y38" s="24">
        <v>0</v>
      </c>
      <c r="Z38" s="24">
        <v>0</v>
      </c>
      <c r="AA38" s="24">
        <v>0</v>
      </c>
      <c r="AB38" s="24">
        <v>0</v>
      </c>
      <c r="AC38" s="24">
        <f t="shared" si="18"/>
        <v>0</v>
      </c>
      <c r="AD38" s="24">
        <f t="shared" si="19"/>
        <v>0</v>
      </c>
    </row>
    <row r="39" spans="3:30" x14ac:dyDescent="0.2">
      <c r="C39" s="246">
        <v>3</v>
      </c>
      <c r="D39" s="17" t="s">
        <v>2</v>
      </c>
      <c r="E39" s="24">
        <v>0</v>
      </c>
      <c r="F39" s="24">
        <v>0</v>
      </c>
      <c r="G39" s="24">
        <v>0</v>
      </c>
      <c r="H39" s="24">
        <v>0</v>
      </c>
      <c r="I39" s="24">
        <v>0</v>
      </c>
      <c r="J39" s="24">
        <v>0</v>
      </c>
      <c r="K39" s="24">
        <v>0</v>
      </c>
      <c r="L39" s="24">
        <v>0</v>
      </c>
      <c r="M39" s="24">
        <v>0</v>
      </c>
      <c r="N39" s="24">
        <v>0</v>
      </c>
      <c r="O39" s="24">
        <v>0</v>
      </c>
      <c r="P39" s="24">
        <f t="shared" si="16"/>
        <v>0</v>
      </c>
      <c r="Q39" s="24">
        <f t="shared" si="17"/>
        <v>0</v>
      </c>
      <c r="R39" s="24">
        <v>0</v>
      </c>
      <c r="S39" s="24">
        <v>0</v>
      </c>
      <c r="T39" s="24">
        <v>0</v>
      </c>
      <c r="U39" s="24">
        <v>0</v>
      </c>
      <c r="V39" s="24">
        <v>0</v>
      </c>
      <c r="W39" s="24">
        <v>0</v>
      </c>
      <c r="X39" s="24">
        <v>0</v>
      </c>
      <c r="Y39" s="24">
        <v>0</v>
      </c>
      <c r="Z39" s="24">
        <v>0</v>
      </c>
      <c r="AA39" s="24">
        <v>0</v>
      </c>
      <c r="AB39" s="24">
        <v>0</v>
      </c>
      <c r="AC39" s="24">
        <f t="shared" si="18"/>
        <v>0</v>
      </c>
      <c r="AD39" s="24">
        <f t="shared" si="19"/>
        <v>0</v>
      </c>
    </row>
    <row r="40" spans="3:30" x14ac:dyDescent="0.2">
      <c r="C40" s="246">
        <v>4</v>
      </c>
      <c r="D40" s="17" t="s">
        <v>3</v>
      </c>
      <c r="E40" s="24">
        <v>0</v>
      </c>
      <c r="F40" s="24">
        <v>0</v>
      </c>
      <c r="G40" s="24">
        <v>0</v>
      </c>
      <c r="H40" s="24">
        <v>0</v>
      </c>
      <c r="I40" s="24">
        <v>0</v>
      </c>
      <c r="J40" s="24">
        <v>0</v>
      </c>
      <c r="K40" s="24">
        <v>0</v>
      </c>
      <c r="L40" s="24">
        <v>0</v>
      </c>
      <c r="M40" s="24">
        <v>0</v>
      </c>
      <c r="N40" s="24">
        <v>0</v>
      </c>
      <c r="O40" s="24">
        <v>0</v>
      </c>
      <c r="P40" s="24">
        <f t="shared" si="16"/>
        <v>0</v>
      </c>
      <c r="Q40" s="24">
        <f t="shared" si="17"/>
        <v>0</v>
      </c>
      <c r="R40" s="24">
        <v>0</v>
      </c>
      <c r="S40" s="24">
        <v>0</v>
      </c>
      <c r="T40" s="24">
        <v>0</v>
      </c>
      <c r="U40" s="24">
        <v>0</v>
      </c>
      <c r="V40" s="24">
        <v>0</v>
      </c>
      <c r="W40" s="24">
        <v>0</v>
      </c>
      <c r="X40" s="24">
        <v>0</v>
      </c>
      <c r="Y40" s="24">
        <v>0</v>
      </c>
      <c r="Z40" s="24">
        <v>0</v>
      </c>
      <c r="AA40" s="24">
        <v>0</v>
      </c>
      <c r="AB40" s="24">
        <v>0</v>
      </c>
      <c r="AC40" s="24">
        <f t="shared" si="18"/>
        <v>0</v>
      </c>
      <c r="AD40" s="24">
        <f t="shared" si="19"/>
        <v>0</v>
      </c>
    </row>
    <row r="41" spans="3:30" x14ac:dyDescent="0.2">
      <c r="C41" s="246">
        <v>8</v>
      </c>
      <c r="D41" s="17" t="s">
        <v>7</v>
      </c>
      <c r="E41" s="24">
        <v>0</v>
      </c>
      <c r="F41" s="24">
        <v>0</v>
      </c>
      <c r="G41" s="24">
        <v>0</v>
      </c>
      <c r="H41" s="24">
        <v>0</v>
      </c>
      <c r="I41" s="24">
        <v>0</v>
      </c>
      <c r="J41" s="24">
        <v>0</v>
      </c>
      <c r="K41" s="24">
        <v>0</v>
      </c>
      <c r="L41" s="24">
        <v>0</v>
      </c>
      <c r="M41" s="24">
        <v>0</v>
      </c>
      <c r="N41" s="24">
        <v>0</v>
      </c>
      <c r="O41" s="24">
        <v>0</v>
      </c>
      <c r="P41" s="24">
        <f t="shared" si="16"/>
        <v>0</v>
      </c>
      <c r="Q41" s="24">
        <f t="shared" si="17"/>
        <v>0</v>
      </c>
      <c r="R41" s="24">
        <v>0</v>
      </c>
      <c r="S41" s="24">
        <v>0</v>
      </c>
      <c r="T41" s="24">
        <v>0</v>
      </c>
      <c r="U41" s="24">
        <v>0</v>
      </c>
      <c r="V41" s="24">
        <v>0</v>
      </c>
      <c r="W41" s="24">
        <v>0</v>
      </c>
      <c r="X41" s="24">
        <v>0</v>
      </c>
      <c r="Y41" s="24">
        <v>0</v>
      </c>
      <c r="Z41" s="24">
        <v>0</v>
      </c>
      <c r="AA41" s="24">
        <v>0</v>
      </c>
      <c r="AB41" s="24">
        <v>0</v>
      </c>
      <c r="AC41" s="24">
        <f t="shared" si="18"/>
        <v>0</v>
      </c>
      <c r="AD41" s="24">
        <f t="shared" si="19"/>
        <v>0</v>
      </c>
    </row>
    <row r="42" spans="3:30" x14ac:dyDescent="0.2">
      <c r="C42" s="246">
        <v>9</v>
      </c>
      <c r="D42" s="17" t="s">
        <v>8</v>
      </c>
      <c r="E42" s="24">
        <v>0</v>
      </c>
      <c r="F42" s="24">
        <v>0</v>
      </c>
      <c r="G42" s="24">
        <v>0</v>
      </c>
      <c r="H42" s="24">
        <v>0</v>
      </c>
      <c r="I42" s="24">
        <v>0</v>
      </c>
      <c r="J42" s="24">
        <v>0</v>
      </c>
      <c r="K42" s="24">
        <v>0</v>
      </c>
      <c r="L42" s="24">
        <v>0</v>
      </c>
      <c r="M42" s="24">
        <v>0</v>
      </c>
      <c r="N42" s="24">
        <v>0</v>
      </c>
      <c r="O42" s="24">
        <v>0</v>
      </c>
      <c r="P42" s="24">
        <f t="shared" si="16"/>
        <v>0</v>
      </c>
      <c r="Q42" s="24">
        <f t="shared" si="17"/>
        <v>0</v>
      </c>
      <c r="R42" s="24">
        <v>0</v>
      </c>
      <c r="S42" s="24">
        <v>0</v>
      </c>
      <c r="T42" s="24">
        <v>0</v>
      </c>
      <c r="U42" s="24">
        <v>0</v>
      </c>
      <c r="V42" s="24">
        <v>0</v>
      </c>
      <c r="W42" s="24">
        <v>0</v>
      </c>
      <c r="X42" s="24">
        <v>0</v>
      </c>
      <c r="Y42" s="24">
        <v>0</v>
      </c>
      <c r="Z42" s="24">
        <v>0</v>
      </c>
      <c r="AA42" s="24">
        <v>0</v>
      </c>
      <c r="AB42" s="24">
        <v>0</v>
      </c>
      <c r="AC42" s="24">
        <f t="shared" si="18"/>
        <v>0</v>
      </c>
      <c r="AD42" s="24">
        <f t="shared" si="19"/>
        <v>0</v>
      </c>
    </row>
    <row r="43" spans="3:30" x14ac:dyDescent="0.2">
      <c r="C43" s="246">
        <v>10</v>
      </c>
      <c r="D43" s="17" t="s">
        <v>9</v>
      </c>
      <c r="E43" s="24">
        <v>0</v>
      </c>
      <c r="F43" s="24">
        <v>0</v>
      </c>
      <c r="G43" s="24">
        <v>0</v>
      </c>
      <c r="H43" s="24">
        <v>0</v>
      </c>
      <c r="I43" s="24">
        <v>0</v>
      </c>
      <c r="J43" s="24">
        <v>0</v>
      </c>
      <c r="K43" s="24">
        <v>0</v>
      </c>
      <c r="L43" s="24">
        <v>0</v>
      </c>
      <c r="M43" s="24">
        <v>0</v>
      </c>
      <c r="N43" s="24">
        <v>0</v>
      </c>
      <c r="O43" s="24">
        <v>0</v>
      </c>
      <c r="P43" s="24">
        <f t="shared" si="16"/>
        <v>0</v>
      </c>
      <c r="Q43" s="24">
        <f t="shared" si="17"/>
        <v>0</v>
      </c>
      <c r="R43" s="24">
        <v>0</v>
      </c>
      <c r="S43" s="24">
        <v>0</v>
      </c>
      <c r="T43" s="24">
        <v>0</v>
      </c>
      <c r="U43" s="24">
        <v>0</v>
      </c>
      <c r="V43" s="24">
        <v>0</v>
      </c>
      <c r="W43" s="24">
        <v>0</v>
      </c>
      <c r="X43" s="24">
        <v>0</v>
      </c>
      <c r="Y43" s="24">
        <v>0</v>
      </c>
      <c r="Z43" s="24">
        <v>0</v>
      </c>
      <c r="AA43" s="24">
        <v>0</v>
      </c>
      <c r="AB43" s="24">
        <v>0</v>
      </c>
      <c r="AC43" s="24">
        <f t="shared" si="18"/>
        <v>0</v>
      </c>
      <c r="AD43" s="24">
        <f t="shared" si="19"/>
        <v>0</v>
      </c>
    </row>
    <row r="44" spans="3:30" s="9" customFormat="1" x14ac:dyDescent="0.2">
      <c r="C44" s="10"/>
      <c r="D44" s="18" t="s">
        <v>56</v>
      </c>
      <c r="E44" s="26">
        <f t="shared" ref="E44:O44" si="20">SUM(E37:E43)</f>
        <v>871960.74054000003</v>
      </c>
      <c r="F44" s="26">
        <f t="shared" si="20"/>
        <v>0</v>
      </c>
      <c r="G44" s="26">
        <f t="shared" si="20"/>
        <v>0</v>
      </c>
      <c r="H44" s="26">
        <f t="shared" si="20"/>
        <v>0</v>
      </c>
      <c r="I44" s="26">
        <f t="shared" si="20"/>
        <v>0</v>
      </c>
      <c r="J44" s="26">
        <f t="shared" si="20"/>
        <v>0</v>
      </c>
      <c r="K44" s="26">
        <f t="shared" si="20"/>
        <v>0</v>
      </c>
      <c r="L44" s="26">
        <f t="shared" si="20"/>
        <v>0</v>
      </c>
      <c r="M44" s="26">
        <f t="shared" si="20"/>
        <v>0</v>
      </c>
      <c r="N44" s="26">
        <f t="shared" si="20"/>
        <v>0</v>
      </c>
      <c r="O44" s="26">
        <f t="shared" si="20"/>
        <v>0</v>
      </c>
      <c r="P44" s="24">
        <f>($R$7*E44)+($S$7*F44)+($U$7*H44)+($V$7*I44)+($W$7*J44)+($X$7*K44)+($Y$7*L44)+($Z$7*M44)+($AA$7*N44)</f>
        <v>0</v>
      </c>
      <c r="Q44" s="26">
        <f t="shared" ref="Q44" si="21">SUM(Q37:Q43)</f>
        <v>0</v>
      </c>
      <c r="R44" s="26">
        <f>SUM(R37:R43)</f>
        <v>615949.23628700001</v>
      </c>
      <c r="S44" s="26">
        <f t="shared" ref="S44:AD44" si="22">SUM(S37:S43)</f>
        <v>0</v>
      </c>
      <c r="T44" s="26"/>
      <c r="U44" s="26">
        <f t="shared" si="22"/>
        <v>0</v>
      </c>
      <c r="V44" s="26">
        <f t="shared" si="22"/>
        <v>0</v>
      </c>
      <c r="W44" s="26">
        <f t="shared" si="22"/>
        <v>0</v>
      </c>
      <c r="X44" s="26">
        <f t="shared" si="22"/>
        <v>0</v>
      </c>
      <c r="Y44" s="26">
        <f t="shared" si="22"/>
        <v>0</v>
      </c>
      <c r="Z44" s="26">
        <f t="shared" si="22"/>
        <v>0</v>
      </c>
      <c r="AA44" s="26">
        <f t="shared" si="22"/>
        <v>0</v>
      </c>
      <c r="AB44" s="26">
        <f t="shared" si="22"/>
        <v>0</v>
      </c>
      <c r="AC44" s="24">
        <f t="shared" si="18"/>
        <v>0</v>
      </c>
      <c r="AD44" s="26">
        <f t="shared" si="22"/>
        <v>0</v>
      </c>
    </row>
    <row r="47" spans="3:30" x14ac:dyDescent="0.2">
      <c r="C47" s="3" t="s">
        <v>22</v>
      </c>
      <c r="D47" s="6" t="s">
        <v>125</v>
      </c>
    </row>
    <row r="48" spans="3:30" x14ac:dyDescent="0.2">
      <c r="D48" s="8" t="s">
        <v>76</v>
      </c>
    </row>
  </sheetData>
  <mergeCells count="10">
    <mergeCell ref="AC5:AC7"/>
    <mergeCell ref="AD5:AD7"/>
    <mergeCell ref="E6:O6"/>
    <mergeCell ref="R6:AB6"/>
    <mergeCell ref="C5:C7"/>
    <mergeCell ref="D5:D7"/>
    <mergeCell ref="E5:O5"/>
    <mergeCell ref="P5:P7"/>
    <mergeCell ref="Q5:Q7"/>
    <mergeCell ref="R5:AB5"/>
  </mergeCells>
  <pageMargins left="0.11811023622047245" right="0.78740157480314965" top="0.6692913385826772" bottom="0.74803149606299213" header="0.31496062992125984" footer="0.31496062992125984"/>
  <pageSetup paperSize="5" scale="57" orientation="landscape" r:id="rId1"/>
  <colBreaks count="1" manualBreakCount="1">
    <brk id="30" max="1048575" man="1"/>
  </col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Normal="100" workbookViewId="0">
      <selection activeCell="D43" sqref="D43"/>
    </sheetView>
  </sheetViews>
  <sheetFormatPr defaultColWidth="8.7109375" defaultRowHeight="11.25" x14ac:dyDescent="0.2"/>
  <cols>
    <col min="1" max="1" width="3.85546875" style="6" customWidth="1"/>
    <col min="2" max="2" width="3.140625" style="22" bestFit="1" customWidth="1"/>
    <col min="3" max="3" width="53.85546875" style="6" bestFit="1" customWidth="1"/>
    <col min="4" max="5" width="10.42578125" style="6" bestFit="1" customWidth="1"/>
    <col min="6" max="6" width="7.42578125" style="6" bestFit="1" customWidth="1"/>
    <col min="7" max="7" width="11" style="6" bestFit="1" customWidth="1"/>
    <col min="8" max="8" width="6" style="6" bestFit="1" customWidth="1"/>
    <col min="9" max="9" width="18.140625" style="6" bestFit="1" customWidth="1"/>
    <col min="10" max="10" width="9.7109375" style="6" bestFit="1" customWidth="1"/>
    <col min="11" max="12" width="7.42578125" style="6" bestFit="1" customWidth="1"/>
    <col min="13" max="13" width="10.140625" style="6" bestFit="1" customWidth="1"/>
    <col min="14" max="14" width="5.42578125" style="6" bestFit="1" customWidth="1"/>
    <col min="15" max="15" width="17.140625" style="6" bestFit="1" customWidth="1"/>
    <col min="16" max="16384" width="8.7109375" style="6"/>
  </cols>
  <sheetData>
    <row r="1" spans="1:15" x14ac:dyDescent="0.2">
      <c r="A1" s="6" t="s">
        <v>126</v>
      </c>
      <c r="B1" s="100" t="s">
        <v>127</v>
      </c>
    </row>
    <row r="2" spans="1:15" x14ac:dyDescent="0.2">
      <c r="B2" s="3" t="s">
        <v>17</v>
      </c>
      <c r="C2" s="6" t="s">
        <v>16</v>
      </c>
    </row>
    <row r="3" spans="1:15" ht="12" thickBot="1" x14ac:dyDescent="0.25">
      <c r="B3" s="49"/>
      <c r="C3" s="49"/>
      <c r="D3" s="49"/>
      <c r="E3" s="49"/>
      <c r="F3" s="49"/>
      <c r="G3" s="49"/>
      <c r="H3" s="49"/>
      <c r="I3" s="49"/>
      <c r="J3" s="49"/>
      <c r="K3" s="49"/>
      <c r="L3" s="49"/>
      <c r="M3" s="49"/>
      <c r="N3" s="49"/>
      <c r="O3" s="228" t="s">
        <v>57</v>
      </c>
    </row>
    <row r="4" spans="1:15" ht="12" thickBot="1" x14ac:dyDescent="0.25">
      <c r="B4" s="285" t="s">
        <v>18</v>
      </c>
      <c r="C4" s="288" t="s">
        <v>19</v>
      </c>
      <c r="D4" s="291" t="s">
        <v>247</v>
      </c>
      <c r="E4" s="292"/>
      <c r="F4" s="292"/>
      <c r="G4" s="292"/>
      <c r="H4" s="292"/>
      <c r="I4" s="293"/>
      <c r="J4" s="291" t="s">
        <v>245</v>
      </c>
      <c r="K4" s="292"/>
      <c r="L4" s="292"/>
      <c r="M4" s="292"/>
      <c r="N4" s="292"/>
      <c r="O4" s="293"/>
    </row>
    <row r="5" spans="1:15" ht="12" thickBot="1" x14ac:dyDescent="0.25">
      <c r="B5" s="286"/>
      <c r="C5" s="289"/>
      <c r="D5" s="298" t="s">
        <v>59</v>
      </c>
      <c r="E5" s="300" t="s">
        <v>62</v>
      </c>
      <c r="F5" s="292"/>
      <c r="G5" s="292"/>
      <c r="H5" s="293"/>
      <c r="I5" s="296" t="s">
        <v>61</v>
      </c>
      <c r="J5" s="294" t="s">
        <v>59</v>
      </c>
      <c r="K5" s="292" t="s">
        <v>60</v>
      </c>
      <c r="L5" s="292"/>
      <c r="M5" s="292"/>
      <c r="N5" s="293"/>
      <c r="O5" s="294" t="s">
        <v>61</v>
      </c>
    </row>
    <row r="6" spans="1:15" ht="12" thickBot="1" x14ac:dyDescent="0.25">
      <c r="B6" s="287"/>
      <c r="C6" s="290"/>
      <c r="D6" s="299"/>
      <c r="E6" s="28" t="s">
        <v>63</v>
      </c>
      <c r="F6" s="28" t="s">
        <v>64</v>
      </c>
      <c r="G6" s="28" t="s">
        <v>65</v>
      </c>
      <c r="H6" s="28" t="s">
        <v>25</v>
      </c>
      <c r="I6" s="297"/>
      <c r="J6" s="295"/>
      <c r="K6" s="28" t="s">
        <v>63</v>
      </c>
      <c r="L6" s="28" t="s">
        <v>64</v>
      </c>
      <c r="M6" s="28" t="s">
        <v>65</v>
      </c>
      <c r="N6" s="28" t="s">
        <v>25</v>
      </c>
      <c r="O6" s="295"/>
    </row>
    <row r="7" spans="1:15" s="43" customFormat="1" ht="10.5" customHeight="1" thickBot="1" x14ac:dyDescent="0.3">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
      <c r="B8" s="29" t="s">
        <v>20</v>
      </c>
      <c r="C8" s="30" t="s">
        <v>21</v>
      </c>
      <c r="D8" s="31"/>
      <c r="E8" s="31"/>
      <c r="F8" s="31"/>
      <c r="G8" s="31"/>
      <c r="H8" s="31"/>
      <c r="I8" s="32"/>
      <c r="J8" s="31"/>
      <c r="K8" s="31"/>
      <c r="L8" s="31"/>
      <c r="M8" s="31"/>
      <c r="N8" s="31"/>
      <c r="O8" s="31"/>
    </row>
    <row r="9" spans="1:15" x14ac:dyDescent="0.2">
      <c r="B9" s="33">
        <v>1</v>
      </c>
      <c r="C9" s="34" t="s">
        <v>0</v>
      </c>
      <c r="D9" s="44">
        <v>5103844.1384089999</v>
      </c>
      <c r="E9" s="44">
        <v>0</v>
      </c>
      <c r="F9" s="44">
        <v>0</v>
      </c>
      <c r="G9" s="44">
        <v>0</v>
      </c>
      <c r="H9" s="44">
        <v>0</v>
      </c>
      <c r="I9" s="44">
        <f>D9-E9-F9-G9-H9</f>
        <v>5103844.1384089999</v>
      </c>
      <c r="J9" s="44">
        <v>4127132.797032</v>
      </c>
      <c r="K9" s="44">
        <v>0</v>
      </c>
      <c r="L9" s="44">
        <v>0</v>
      </c>
      <c r="M9" s="44">
        <v>0</v>
      </c>
      <c r="N9" s="44">
        <v>0</v>
      </c>
      <c r="O9" s="44">
        <f>J9-K9-L9-M9-N9</f>
        <v>4127132.797032</v>
      </c>
    </row>
    <row r="10" spans="1:15" x14ac:dyDescent="0.2">
      <c r="B10" s="33">
        <v>2</v>
      </c>
      <c r="C10" s="34" t="s">
        <v>1</v>
      </c>
      <c r="D10" s="44">
        <v>10789.5</v>
      </c>
      <c r="E10" s="44">
        <v>0</v>
      </c>
      <c r="F10" s="44">
        <v>0</v>
      </c>
      <c r="G10" s="44">
        <v>0</v>
      </c>
      <c r="H10" s="44">
        <v>0</v>
      </c>
      <c r="I10" s="44">
        <f t="shared" ref="I10:I19" si="0">D10-E10-F10-G10-H10</f>
        <v>10789.5</v>
      </c>
      <c r="J10" s="44">
        <v>34401.284478000001</v>
      </c>
      <c r="K10" s="44">
        <v>0</v>
      </c>
      <c r="L10" s="44">
        <v>0</v>
      </c>
      <c r="M10" s="44">
        <v>0</v>
      </c>
      <c r="N10" s="44">
        <v>0</v>
      </c>
      <c r="O10" s="44">
        <f t="shared" ref="O10:O19" si="1">J10-K10-L10-M10-N10</f>
        <v>34401.284478000001</v>
      </c>
    </row>
    <row r="11" spans="1:15" x14ac:dyDescent="0.2">
      <c r="B11" s="33">
        <v>3</v>
      </c>
      <c r="C11" s="34" t="s">
        <v>2</v>
      </c>
      <c r="D11" s="44">
        <v>0</v>
      </c>
      <c r="E11" s="44">
        <v>0</v>
      </c>
      <c r="F11" s="44">
        <v>0</v>
      </c>
      <c r="G11" s="44">
        <v>0</v>
      </c>
      <c r="H11" s="44">
        <v>0</v>
      </c>
      <c r="I11" s="44">
        <f t="shared" si="0"/>
        <v>0</v>
      </c>
      <c r="J11" s="44">
        <v>0</v>
      </c>
      <c r="K11" s="44">
        <v>0</v>
      </c>
      <c r="L11" s="44">
        <v>0</v>
      </c>
      <c r="M11" s="44">
        <v>0</v>
      </c>
      <c r="N11" s="44">
        <v>0</v>
      </c>
      <c r="O11" s="44">
        <f t="shared" si="1"/>
        <v>0</v>
      </c>
    </row>
    <row r="12" spans="1:15" x14ac:dyDescent="0.2">
      <c r="B12" s="33">
        <v>4</v>
      </c>
      <c r="C12" s="34" t="s">
        <v>68</v>
      </c>
      <c r="D12" s="44">
        <f>3600513.179729+343862.290877</f>
        <v>3944375.4706060002</v>
      </c>
      <c r="E12" s="44">
        <v>0</v>
      </c>
      <c r="F12" s="44">
        <v>0</v>
      </c>
      <c r="G12" s="44">
        <v>0</v>
      </c>
      <c r="H12" s="44">
        <v>0</v>
      </c>
      <c r="I12" s="44">
        <f t="shared" si="0"/>
        <v>3944375.4706060002</v>
      </c>
      <c r="J12" s="44">
        <f>2612848.923874+346603.773477</f>
        <v>2959452.6973510003</v>
      </c>
      <c r="K12" s="44">
        <v>0</v>
      </c>
      <c r="L12" s="44">
        <v>0</v>
      </c>
      <c r="M12" s="44">
        <v>0</v>
      </c>
      <c r="N12" s="44">
        <v>0</v>
      </c>
      <c r="O12" s="44">
        <f t="shared" si="1"/>
        <v>2959452.6973510003</v>
      </c>
    </row>
    <row r="13" spans="1:15" x14ac:dyDescent="0.2">
      <c r="B13" s="33">
        <v>5</v>
      </c>
      <c r="C13" s="34" t="s">
        <v>4</v>
      </c>
      <c r="D13" s="44">
        <v>596747.83774799993</v>
      </c>
      <c r="E13" s="44">
        <v>0</v>
      </c>
      <c r="F13" s="44">
        <v>0</v>
      </c>
      <c r="G13" s="44">
        <v>0</v>
      </c>
      <c r="H13" s="44">
        <v>0</v>
      </c>
      <c r="I13" s="44">
        <f t="shared" si="0"/>
        <v>596747.83774799993</v>
      </c>
      <c r="J13" s="44">
        <v>561463.357601</v>
      </c>
      <c r="K13" s="44">
        <v>0</v>
      </c>
      <c r="L13" s="44">
        <v>0</v>
      </c>
      <c r="M13" s="44">
        <v>0</v>
      </c>
      <c r="N13" s="44">
        <v>0</v>
      </c>
      <c r="O13" s="44">
        <f t="shared" si="1"/>
        <v>561463.357601</v>
      </c>
    </row>
    <row r="14" spans="1:15" x14ac:dyDescent="0.2">
      <c r="B14" s="33">
        <v>6</v>
      </c>
      <c r="C14" s="34" t="s">
        <v>5</v>
      </c>
      <c r="D14" s="44">
        <v>150930.65102399999</v>
      </c>
      <c r="E14" s="44">
        <v>0</v>
      </c>
      <c r="F14" s="44">
        <v>0</v>
      </c>
      <c r="G14" s="44">
        <v>0</v>
      </c>
      <c r="H14" s="44">
        <v>0</v>
      </c>
      <c r="I14" s="44">
        <f t="shared" si="0"/>
        <v>150930.65102399999</v>
      </c>
      <c r="J14" s="44">
        <v>118689.607485</v>
      </c>
      <c r="K14" s="44">
        <v>0</v>
      </c>
      <c r="L14" s="44">
        <v>0</v>
      </c>
      <c r="M14" s="44">
        <v>0</v>
      </c>
      <c r="N14" s="44">
        <v>0</v>
      </c>
      <c r="O14" s="44">
        <f t="shared" si="1"/>
        <v>118689.607485</v>
      </c>
    </row>
    <row r="15" spans="1:15" x14ac:dyDescent="0.2">
      <c r="B15" s="33">
        <v>7</v>
      </c>
      <c r="C15" s="34" t="s">
        <v>69</v>
      </c>
      <c r="D15" s="44">
        <v>11309754.615403</v>
      </c>
      <c r="E15" s="44">
        <v>4542.1743470000001</v>
      </c>
      <c r="F15" s="44">
        <v>0</v>
      </c>
      <c r="G15" s="44">
        <v>0</v>
      </c>
      <c r="H15" s="44">
        <v>0</v>
      </c>
      <c r="I15" s="44">
        <f>D15-E15-F15-G15-H15</f>
        <v>11305212.441056</v>
      </c>
      <c r="J15" s="44">
        <v>11336115.629386</v>
      </c>
      <c r="K15" s="44">
        <v>3670.9811800000002</v>
      </c>
      <c r="L15" s="44">
        <v>0</v>
      </c>
      <c r="M15" s="44">
        <v>0</v>
      </c>
      <c r="N15" s="44">
        <v>0</v>
      </c>
      <c r="O15" s="44">
        <f t="shared" si="1"/>
        <v>11332444.648206001</v>
      </c>
    </row>
    <row r="16" spans="1:15" x14ac:dyDescent="0.2">
      <c r="B16" s="33">
        <v>8</v>
      </c>
      <c r="C16" s="34" t="s">
        <v>70</v>
      </c>
      <c r="D16" s="44">
        <v>979668.52832100005</v>
      </c>
      <c r="E16" s="44">
        <v>5150.2682459999996</v>
      </c>
      <c r="F16" s="44">
        <v>0</v>
      </c>
      <c r="G16" s="44">
        <v>35288.429084000003</v>
      </c>
      <c r="H16" s="44">
        <v>0</v>
      </c>
      <c r="I16" s="44">
        <f>D16-E16-F16-G16-H16</f>
        <v>939229.83099099994</v>
      </c>
      <c r="J16" s="44">
        <v>928462.76902199991</v>
      </c>
      <c r="K16" s="44">
        <v>8113.4985589999997</v>
      </c>
      <c r="L16" s="44">
        <v>0</v>
      </c>
      <c r="M16" s="44">
        <v>34596.450302999998</v>
      </c>
      <c r="N16" s="44">
        <v>0</v>
      </c>
      <c r="O16" s="44">
        <f>J16-K16-L16-M16-N16</f>
        <v>885752.82015999989</v>
      </c>
    </row>
    <row r="17" spans="2:18" x14ac:dyDescent="0.2">
      <c r="B17" s="33">
        <v>9</v>
      </c>
      <c r="C17" s="34" t="s">
        <v>8</v>
      </c>
      <c r="D17" s="44">
        <v>4880008.3962340001</v>
      </c>
      <c r="E17" s="44">
        <v>22105.433846</v>
      </c>
      <c r="F17" s="44">
        <v>0</v>
      </c>
      <c r="G17" s="44">
        <v>24.75</v>
      </c>
      <c r="H17" s="44">
        <v>0</v>
      </c>
      <c r="I17" s="44">
        <f t="shared" si="0"/>
        <v>4857878.2123880005</v>
      </c>
      <c r="J17" s="44">
        <v>4276410.9005279997</v>
      </c>
      <c r="K17" s="44">
        <v>25819.927685999999</v>
      </c>
      <c r="L17" s="44">
        <v>0</v>
      </c>
      <c r="M17" s="44">
        <v>24.75</v>
      </c>
      <c r="N17" s="44">
        <v>0</v>
      </c>
      <c r="O17" s="44">
        <f t="shared" si="1"/>
        <v>4250566.2228419995</v>
      </c>
      <c r="R17" s="6">
        <v>343862.29087700002</v>
      </c>
    </row>
    <row r="18" spans="2:18" x14ac:dyDescent="0.2">
      <c r="B18" s="33">
        <v>10</v>
      </c>
      <c r="C18" s="34" t="s">
        <v>9</v>
      </c>
      <c r="D18" s="44">
        <v>227974.98849199997</v>
      </c>
      <c r="E18" s="44">
        <v>0</v>
      </c>
      <c r="F18" s="44">
        <v>0</v>
      </c>
      <c r="G18" s="44">
        <v>88.026071999999999</v>
      </c>
      <c r="H18" s="44">
        <v>0</v>
      </c>
      <c r="I18" s="44">
        <f t="shared" si="0"/>
        <v>227886.96241999997</v>
      </c>
      <c r="J18" s="44">
        <v>243376.31171200002</v>
      </c>
      <c r="K18" s="44">
        <v>69.7</v>
      </c>
      <c r="L18" s="44">
        <v>0</v>
      </c>
      <c r="M18" s="44">
        <v>232.64718999999999</v>
      </c>
      <c r="N18" s="44">
        <v>0</v>
      </c>
      <c r="O18" s="44">
        <f t="shared" si="1"/>
        <v>243073.96452200002</v>
      </c>
    </row>
    <row r="19" spans="2:18" x14ac:dyDescent="0.2">
      <c r="B19" s="33">
        <v>11</v>
      </c>
      <c r="C19" s="34" t="s">
        <v>10</v>
      </c>
      <c r="D19" s="44">
        <v>2366980.4686160004</v>
      </c>
      <c r="E19" s="44">
        <v>0</v>
      </c>
      <c r="F19" s="44">
        <v>0</v>
      </c>
      <c r="G19" s="44">
        <v>0</v>
      </c>
      <c r="H19" s="44">
        <v>0</v>
      </c>
      <c r="I19" s="44">
        <f t="shared" si="0"/>
        <v>2366980.4686160004</v>
      </c>
      <c r="J19" s="44">
        <v>2331520.313999</v>
      </c>
      <c r="K19" s="44">
        <v>0</v>
      </c>
      <c r="L19" s="44">
        <v>0</v>
      </c>
      <c r="M19" s="44">
        <v>0</v>
      </c>
      <c r="N19" s="44">
        <v>0</v>
      </c>
      <c r="O19" s="44">
        <f t="shared" si="1"/>
        <v>2331520.313999</v>
      </c>
    </row>
    <row r="20" spans="2:18" s="9" customFormat="1" x14ac:dyDescent="0.2">
      <c r="B20" s="36"/>
      <c r="C20" s="35" t="s">
        <v>51</v>
      </c>
      <c r="D20" s="45">
        <f>SUM(D9:D19)</f>
        <v>29571074.594853003</v>
      </c>
      <c r="E20" s="45">
        <f t="shared" ref="E20:H20" si="2">SUM(E9:E19)</f>
        <v>31797.876439</v>
      </c>
      <c r="F20" s="44">
        <v>0</v>
      </c>
      <c r="G20" s="45">
        <f t="shared" si="2"/>
        <v>35401.205156000004</v>
      </c>
      <c r="H20" s="45">
        <f t="shared" si="2"/>
        <v>0</v>
      </c>
      <c r="I20" s="45">
        <f>SUM(I9:I19)</f>
        <v>29503875.513258003</v>
      </c>
      <c r="J20" s="45">
        <f>SUM(J9:J19)</f>
        <v>26917025.668593999</v>
      </c>
      <c r="K20" s="45">
        <f t="shared" ref="K20:O20" si="3">SUM(K9:K19)</f>
        <v>37674.107424999995</v>
      </c>
      <c r="L20" s="45">
        <f t="shared" si="3"/>
        <v>0</v>
      </c>
      <c r="M20" s="45">
        <f t="shared" si="3"/>
        <v>34853.847493000001</v>
      </c>
      <c r="N20" s="45">
        <f t="shared" si="3"/>
        <v>0</v>
      </c>
      <c r="O20" s="45">
        <f t="shared" si="3"/>
        <v>26844497.713676006</v>
      </c>
    </row>
    <row r="21" spans="2:18" x14ac:dyDescent="0.2">
      <c r="B21" s="33"/>
      <c r="C21" s="34"/>
      <c r="D21" s="44"/>
      <c r="E21" s="44"/>
      <c r="F21" s="44"/>
      <c r="G21" s="44"/>
      <c r="H21" s="44"/>
      <c r="I21" s="50"/>
      <c r="J21" s="34"/>
      <c r="K21" s="34"/>
      <c r="L21" s="34"/>
      <c r="M21" s="34"/>
      <c r="N21" s="34"/>
      <c r="O21" s="34"/>
    </row>
    <row r="22" spans="2:18" x14ac:dyDescent="0.2">
      <c r="B22" s="36" t="s">
        <v>52</v>
      </c>
      <c r="C22" s="37" t="s">
        <v>71</v>
      </c>
      <c r="D22" s="44"/>
      <c r="E22" s="44"/>
      <c r="F22" s="44"/>
      <c r="G22" s="44"/>
      <c r="H22" s="44"/>
      <c r="I22" s="50"/>
      <c r="J22" s="34"/>
      <c r="K22" s="34"/>
      <c r="L22" s="34"/>
      <c r="M22" s="34"/>
      <c r="N22" s="34"/>
      <c r="O22" s="34"/>
    </row>
    <row r="23" spans="2:18" x14ac:dyDescent="0.2">
      <c r="B23" s="33">
        <v>1</v>
      </c>
      <c r="C23" s="34" t="s">
        <v>0</v>
      </c>
      <c r="D23" s="44">
        <v>23850.906921200003</v>
      </c>
      <c r="E23" s="44">
        <v>0</v>
      </c>
      <c r="F23" s="44">
        <v>0</v>
      </c>
      <c r="G23" s="44">
        <v>0</v>
      </c>
      <c r="H23" s="44">
        <v>0</v>
      </c>
      <c r="I23" s="44">
        <f t="shared" ref="I23:I32" si="4">D23-E23-F23-G23-H23</f>
        <v>23850.906921200003</v>
      </c>
      <c r="J23" s="44">
        <v>20191.167868000004</v>
      </c>
      <c r="K23" s="44">
        <v>0</v>
      </c>
      <c r="L23" s="44">
        <v>0</v>
      </c>
      <c r="M23" s="44">
        <v>0</v>
      </c>
      <c r="N23" s="44">
        <v>0</v>
      </c>
      <c r="O23" s="44">
        <f t="shared" ref="O23:O32" si="5">J23-K23-L23-M23-N23</f>
        <v>20191.167868000004</v>
      </c>
    </row>
    <row r="24" spans="2:18" x14ac:dyDescent="0.2">
      <c r="B24" s="33">
        <v>2</v>
      </c>
      <c r="C24" s="34" t="s">
        <v>1</v>
      </c>
      <c r="D24" s="44">
        <v>2447.8964799999999</v>
      </c>
      <c r="E24" s="44">
        <v>0</v>
      </c>
      <c r="F24" s="44">
        <v>2447.8964799999999</v>
      </c>
      <c r="G24" s="44">
        <v>0</v>
      </c>
      <c r="H24" s="44">
        <v>0</v>
      </c>
      <c r="I24" s="44">
        <f t="shared" si="4"/>
        <v>0</v>
      </c>
      <c r="J24" s="44">
        <v>1486.3535344000002</v>
      </c>
      <c r="K24" s="44">
        <v>0</v>
      </c>
      <c r="L24" s="44">
        <v>1047.55043</v>
      </c>
      <c r="M24" s="44">
        <v>0</v>
      </c>
      <c r="N24" s="44">
        <v>0</v>
      </c>
      <c r="O24" s="44">
        <f t="shared" si="5"/>
        <v>438.80310440000017</v>
      </c>
    </row>
    <row r="25" spans="2:18" x14ac:dyDescent="0.2">
      <c r="B25" s="33">
        <v>3</v>
      </c>
      <c r="C25" s="34" t="s">
        <v>2</v>
      </c>
      <c r="D25" s="44">
        <v>0</v>
      </c>
      <c r="E25" s="44">
        <v>0</v>
      </c>
      <c r="F25" s="44">
        <v>0</v>
      </c>
      <c r="G25" s="44">
        <v>0</v>
      </c>
      <c r="H25" s="44">
        <v>0</v>
      </c>
      <c r="I25" s="44">
        <f t="shared" si="4"/>
        <v>0</v>
      </c>
      <c r="J25" s="44">
        <v>0</v>
      </c>
      <c r="K25" s="44">
        <v>0</v>
      </c>
      <c r="L25" s="44">
        <v>0</v>
      </c>
      <c r="M25" s="44">
        <v>0</v>
      </c>
      <c r="N25" s="44">
        <v>0</v>
      </c>
      <c r="O25" s="44">
        <f t="shared" si="5"/>
        <v>0</v>
      </c>
    </row>
    <row r="26" spans="2:18" x14ac:dyDescent="0.2">
      <c r="B26" s="33">
        <v>4</v>
      </c>
      <c r="C26" s="34" t="s">
        <v>68</v>
      </c>
      <c r="D26" s="44">
        <v>0</v>
      </c>
      <c r="E26" s="44">
        <v>0</v>
      </c>
      <c r="F26" s="44">
        <v>0</v>
      </c>
      <c r="G26" s="44">
        <v>0</v>
      </c>
      <c r="H26" s="44">
        <v>0</v>
      </c>
      <c r="I26" s="44">
        <f t="shared" si="4"/>
        <v>0</v>
      </c>
      <c r="J26" s="44">
        <v>0</v>
      </c>
      <c r="K26" s="44">
        <v>0</v>
      </c>
      <c r="L26" s="44">
        <v>0</v>
      </c>
      <c r="M26" s="44">
        <v>0</v>
      </c>
      <c r="N26" s="44">
        <v>0</v>
      </c>
      <c r="O26" s="44">
        <f t="shared" si="5"/>
        <v>0</v>
      </c>
    </row>
    <row r="27" spans="2:18" x14ac:dyDescent="0.2">
      <c r="B27" s="33">
        <v>5</v>
      </c>
      <c r="C27" s="34" t="s">
        <v>4</v>
      </c>
      <c r="D27" s="44">
        <v>0</v>
      </c>
      <c r="E27" s="44">
        <v>0</v>
      </c>
      <c r="F27" s="44">
        <v>0</v>
      </c>
      <c r="G27" s="44">
        <v>0</v>
      </c>
      <c r="H27" s="44">
        <v>0</v>
      </c>
      <c r="I27" s="44">
        <f t="shared" si="4"/>
        <v>0</v>
      </c>
      <c r="J27" s="44">
        <v>0</v>
      </c>
      <c r="K27" s="44">
        <v>0</v>
      </c>
      <c r="L27" s="44">
        <v>0</v>
      </c>
      <c r="M27" s="44">
        <v>0</v>
      </c>
      <c r="N27" s="44">
        <v>0</v>
      </c>
      <c r="O27" s="44">
        <f t="shared" si="5"/>
        <v>0</v>
      </c>
    </row>
    <row r="28" spans="2:18" x14ac:dyDescent="0.2">
      <c r="B28" s="33">
        <v>6</v>
      </c>
      <c r="C28" s="34" t="s">
        <v>5</v>
      </c>
      <c r="D28" s="44">
        <v>0</v>
      </c>
      <c r="E28" s="44">
        <v>0</v>
      </c>
      <c r="F28" s="44">
        <v>0</v>
      </c>
      <c r="G28" s="44">
        <v>0</v>
      </c>
      <c r="H28" s="44">
        <v>0</v>
      </c>
      <c r="I28" s="44">
        <f t="shared" si="4"/>
        <v>0</v>
      </c>
      <c r="J28" s="44">
        <v>0</v>
      </c>
      <c r="K28" s="44">
        <v>0</v>
      </c>
      <c r="L28" s="44">
        <v>0</v>
      </c>
      <c r="M28" s="44">
        <v>0</v>
      </c>
      <c r="N28" s="44">
        <v>0</v>
      </c>
      <c r="O28" s="44">
        <f t="shared" si="5"/>
        <v>0</v>
      </c>
    </row>
    <row r="29" spans="2:18" x14ac:dyDescent="0.2">
      <c r="B29" s="33">
        <v>7</v>
      </c>
      <c r="C29" s="34" t="s">
        <v>69</v>
      </c>
      <c r="D29" s="44">
        <v>0</v>
      </c>
      <c r="E29" s="44">
        <v>0</v>
      </c>
      <c r="F29" s="44">
        <v>0</v>
      </c>
      <c r="G29" s="44">
        <v>0</v>
      </c>
      <c r="H29" s="44">
        <v>0</v>
      </c>
      <c r="I29" s="44">
        <f t="shared" si="4"/>
        <v>0</v>
      </c>
      <c r="J29" s="44">
        <v>0</v>
      </c>
      <c r="K29" s="44">
        <v>0</v>
      </c>
      <c r="L29" s="44">
        <v>0</v>
      </c>
      <c r="M29" s="44">
        <v>0</v>
      </c>
      <c r="N29" s="44">
        <v>0</v>
      </c>
      <c r="O29" s="44">
        <f t="shared" si="5"/>
        <v>0</v>
      </c>
    </row>
    <row r="30" spans="2:18" x14ac:dyDescent="0.2">
      <c r="B30" s="33">
        <v>8</v>
      </c>
      <c r="C30" s="34" t="s">
        <v>70</v>
      </c>
      <c r="D30" s="44">
        <v>58281.271091200004</v>
      </c>
      <c r="E30" s="44">
        <v>1872.69092</v>
      </c>
      <c r="F30" s="44">
        <v>32960.346439499997</v>
      </c>
      <c r="G30" s="44">
        <v>0</v>
      </c>
      <c r="H30" s="44">
        <v>0</v>
      </c>
      <c r="I30" s="44">
        <f t="shared" si="4"/>
        <v>23448.233731700006</v>
      </c>
      <c r="J30" s="44">
        <v>45777.9694733</v>
      </c>
      <c r="K30" s="44">
        <v>1858.8481724999999</v>
      </c>
      <c r="L30" s="44">
        <v>22265.558338499999</v>
      </c>
      <c r="M30" s="44">
        <v>0</v>
      </c>
      <c r="N30" s="44">
        <v>0</v>
      </c>
      <c r="O30" s="44">
        <f t="shared" si="5"/>
        <v>21653.562962299999</v>
      </c>
    </row>
    <row r="31" spans="2:18" x14ac:dyDescent="0.2">
      <c r="B31" s="33">
        <v>9</v>
      </c>
      <c r="C31" s="34" t="s">
        <v>8</v>
      </c>
      <c r="D31" s="44">
        <v>169664.0326717</v>
      </c>
      <c r="E31" s="44">
        <v>113.26725500000001</v>
      </c>
      <c r="F31" s="44">
        <v>19700.478102500001</v>
      </c>
      <c r="G31" s="44">
        <v>0</v>
      </c>
      <c r="H31" s="44">
        <v>0</v>
      </c>
      <c r="I31" s="44">
        <f t="shared" si="4"/>
        <v>149850.28731419999</v>
      </c>
      <c r="J31" s="44">
        <v>171304.2529244</v>
      </c>
      <c r="K31" s="44">
        <v>0</v>
      </c>
      <c r="L31" s="44">
        <v>20047.940102500001</v>
      </c>
      <c r="M31" s="44">
        <v>0</v>
      </c>
      <c r="N31" s="44">
        <v>0</v>
      </c>
      <c r="O31" s="44">
        <f t="shared" si="5"/>
        <v>151256.31282190001</v>
      </c>
    </row>
    <row r="32" spans="2:18" x14ac:dyDescent="0.2">
      <c r="B32" s="33">
        <v>10</v>
      </c>
      <c r="C32" s="34" t="s">
        <v>9</v>
      </c>
      <c r="D32" s="44">
        <v>2511.4489509999999</v>
      </c>
      <c r="E32" s="44">
        <v>0</v>
      </c>
      <c r="F32" s="44">
        <v>0</v>
      </c>
      <c r="G32" s="44">
        <v>0</v>
      </c>
      <c r="H32" s="44">
        <v>0</v>
      </c>
      <c r="I32" s="44">
        <f t="shared" si="4"/>
        <v>2511.4489509999999</v>
      </c>
      <c r="J32" s="44">
        <v>5276.782588</v>
      </c>
      <c r="K32" s="44">
        <v>0</v>
      </c>
      <c r="L32" s="44">
        <v>0</v>
      </c>
      <c r="M32" s="44">
        <v>0</v>
      </c>
      <c r="N32" s="44">
        <v>0</v>
      </c>
      <c r="O32" s="44">
        <f t="shared" si="5"/>
        <v>5276.782588</v>
      </c>
    </row>
    <row r="33" spans="2:15" s="9" customFormat="1" x14ac:dyDescent="0.2">
      <c r="B33" s="36"/>
      <c r="C33" s="35" t="s">
        <v>72</v>
      </c>
      <c r="D33" s="45">
        <f t="shared" ref="D33:O33" si="6">SUM(D23:D32)</f>
        <v>256755.55611509999</v>
      </c>
      <c r="E33" s="45">
        <f t="shared" si="6"/>
        <v>1985.958175</v>
      </c>
      <c r="F33" s="45">
        <f t="shared" si="6"/>
        <v>55108.721021999998</v>
      </c>
      <c r="G33" s="45">
        <f t="shared" si="6"/>
        <v>0</v>
      </c>
      <c r="H33" s="45">
        <f t="shared" si="6"/>
        <v>0</v>
      </c>
      <c r="I33" s="45">
        <f>SUM(I23:I32)</f>
        <v>199660.8769181</v>
      </c>
      <c r="J33" s="45">
        <f>SUM(J23:J32)</f>
        <v>244036.5263881</v>
      </c>
      <c r="K33" s="45">
        <f t="shared" si="6"/>
        <v>1858.8481724999999</v>
      </c>
      <c r="L33" s="45">
        <f t="shared" si="6"/>
        <v>43361.048870999999</v>
      </c>
      <c r="M33" s="45">
        <f t="shared" si="6"/>
        <v>0</v>
      </c>
      <c r="N33" s="45">
        <f t="shared" si="6"/>
        <v>0</v>
      </c>
      <c r="O33" s="45">
        <f t="shared" si="6"/>
        <v>198816.62934460002</v>
      </c>
    </row>
    <row r="34" spans="2:15" x14ac:dyDescent="0.2">
      <c r="B34" s="33"/>
      <c r="C34" s="34"/>
      <c r="D34" s="44"/>
      <c r="E34" s="44"/>
      <c r="F34" s="44"/>
      <c r="G34" s="44"/>
      <c r="H34" s="44"/>
      <c r="I34" s="50"/>
      <c r="J34" s="34"/>
      <c r="K34" s="34"/>
      <c r="L34" s="34"/>
      <c r="M34" s="34"/>
      <c r="N34" s="34"/>
      <c r="O34" s="34"/>
    </row>
    <row r="35" spans="2:15" x14ac:dyDescent="0.2">
      <c r="B35" s="36" t="s">
        <v>54</v>
      </c>
      <c r="C35" s="37" t="s">
        <v>73</v>
      </c>
      <c r="D35" s="44"/>
      <c r="E35" s="44"/>
      <c r="F35" s="44"/>
      <c r="G35" s="44"/>
      <c r="H35" s="44"/>
      <c r="I35" s="50"/>
      <c r="J35" s="34"/>
      <c r="K35" s="34"/>
      <c r="L35" s="34"/>
      <c r="M35" s="34"/>
      <c r="N35" s="34"/>
      <c r="O35" s="34"/>
    </row>
    <row r="36" spans="2:15" x14ac:dyDescent="0.2">
      <c r="B36" s="33">
        <v>1</v>
      </c>
      <c r="C36" s="34" t="s">
        <v>0</v>
      </c>
      <c r="D36" s="44">
        <v>615949.23628700001</v>
      </c>
      <c r="E36" s="44">
        <v>0</v>
      </c>
      <c r="F36" s="44">
        <v>0</v>
      </c>
      <c r="G36" s="44">
        <v>0</v>
      </c>
      <c r="H36" s="44">
        <v>0</v>
      </c>
      <c r="I36" s="44">
        <f t="shared" ref="I36:I41" si="7">D36-E36-F36-G36-H36</f>
        <v>615949.23628700001</v>
      </c>
      <c r="J36" s="44">
        <v>527192.259968</v>
      </c>
      <c r="K36" s="44">
        <v>0</v>
      </c>
      <c r="L36" s="44">
        <v>0</v>
      </c>
      <c r="M36" s="44">
        <v>0</v>
      </c>
      <c r="N36" s="44">
        <v>0</v>
      </c>
      <c r="O36" s="44">
        <f t="shared" ref="O36:O41" si="8">J36-K36-L36-M36-N36</f>
        <v>527192.259968</v>
      </c>
    </row>
    <row r="37" spans="2:15" x14ac:dyDescent="0.2">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2" thickBot="1" x14ac:dyDescent="0.25">
      <c r="B42" s="46"/>
      <c r="C42" s="38" t="s">
        <v>56</v>
      </c>
      <c r="D42" s="47">
        <f t="shared" ref="D42:H42" si="9">SUM(D36:D41)</f>
        <v>615949.23628700001</v>
      </c>
      <c r="E42" s="47">
        <f t="shared" si="9"/>
        <v>0</v>
      </c>
      <c r="F42" s="47">
        <f t="shared" si="9"/>
        <v>0</v>
      </c>
      <c r="G42" s="47">
        <f t="shared" si="9"/>
        <v>0</v>
      </c>
      <c r="H42" s="47">
        <f t="shared" si="9"/>
        <v>0</v>
      </c>
      <c r="I42" s="47">
        <f>SUM(I36:I41)</f>
        <v>615949.23628700001</v>
      </c>
      <c r="J42" s="47">
        <f t="shared" ref="J42:O42" si="10">SUM(J36:J41)</f>
        <v>527192.259968</v>
      </c>
      <c r="K42" s="47">
        <f t="shared" si="10"/>
        <v>0</v>
      </c>
      <c r="L42" s="47">
        <f t="shared" si="10"/>
        <v>0</v>
      </c>
      <c r="M42" s="47">
        <f t="shared" si="10"/>
        <v>0</v>
      </c>
      <c r="N42" s="47">
        <f t="shared" si="10"/>
        <v>0</v>
      </c>
      <c r="O42" s="47">
        <f t="shared" si="10"/>
        <v>527192.259968</v>
      </c>
    </row>
    <row r="43" spans="2:15" s="9" customFormat="1" ht="12" thickBot="1" x14ac:dyDescent="0.25">
      <c r="B43" s="282" t="s">
        <v>75</v>
      </c>
      <c r="C43" s="283"/>
      <c r="D43" s="51">
        <f>D20+D33+D42</f>
        <v>30443779.387255102</v>
      </c>
      <c r="E43" s="51">
        <f>E20+E33+E42</f>
        <v>33783.834613999999</v>
      </c>
      <c r="F43" s="51">
        <f t="shared" ref="F43:H43" si="11">F20+F33+F42</f>
        <v>55108.721021999998</v>
      </c>
      <c r="G43" s="51">
        <f t="shared" si="11"/>
        <v>35401.205156000004</v>
      </c>
      <c r="H43" s="51">
        <f t="shared" si="11"/>
        <v>0</v>
      </c>
      <c r="I43" s="51">
        <f>I20+I33+I42</f>
        <v>30319485.626463104</v>
      </c>
      <c r="J43" s="48">
        <f>J20+J33+J42</f>
        <v>27688254.454950102</v>
      </c>
      <c r="K43" s="48">
        <f t="shared" ref="K43:N43" si="12">K20+K33+K42</f>
        <v>39532.955597499997</v>
      </c>
      <c r="L43" s="48">
        <f t="shared" si="12"/>
        <v>43361.048870999999</v>
      </c>
      <c r="M43" s="48">
        <f t="shared" si="12"/>
        <v>34853.847493000001</v>
      </c>
      <c r="N43" s="48">
        <f t="shared" si="12"/>
        <v>0</v>
      </c>
      <c r="O43" s="48">
        <f>O20+O33+O42</f>
        <v>27570506.602988608</v>
      </c>
    </row>
    <row r="44" spans="2:15" x14ac:dyDescent="0.2">
      <c r="D44" s="184"/>
    </row>
    <row r="45" spans="2:15" x14ac:dyDescent="0.2">
      <c r="D45" s="184"/>
    </row>
    <row r="46" spans="2:15" x14ac:dyDescent="0.2">
      <c r="B46" s="3" t="s">
        <v>22</v>
      </c>
      <c r="C46" s="6" t="s">
        <v>125</v>
      </c>
      <c r="D46" s="184"/>
    </row>
    <row r="47" spans="2:15" x14ac:dyDescent="0.2">
      <c r="C47" s="8" t="s">
        <v>76</v>
      </c>
      <c r="D47" s="184"/>
    </row>
  </sheetData>
  <mergeCells count="11">
    <mergeCell ref="B43:C43"/>
    <mergeCell ref="B4:B6"/>
    <mergeCell ref="C4:C6"/>
    <mergeCell ref="D4:I4"/>
    <mergeCell ref="J4:O4"/>
    <mergeCell ref="D5:D6"/>
    <mergeCell ref="E5:H5"/>
    <mergeCell ref="I5:I6"/>
    <mergeCell ref="J5:J6"/>
    <mergeCell ref="K5:N5"/>
    <mergeCell ref="O5:O6"/>
  </mergeCells>
  <pageMargins left="0.70866141732283472" right="0.70866141732283472" top="0.74803149606299213" bottom="0.74803149606299213" header="0.31496062992125984" footer="0.31496062992125984"/>
  <pageSetup paperSize="5" scale="80" orientation="landscape" r:id="rId1"/>
  <colBreaks count="1" manualBreakCount="1">
    <brk id="15" max="1048575" man="1"/>
  </col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
  <sheetViews>
    <sheetView showGridLines="0" zoomScaleNormal="100" workbookViewId="0">
      <selection activeCell="G51" sqref="G51"/>
    </sheetView>
  </sheetViews>
  <sheetFormatPr defaultColWidth="8.7109375" defaultRowHeight="11.25" x14ac:dyDescent="0.2"/>
  <cols>
    <col min="1" max="1" width="3.85546875" style="6" customWidth="1"/>
    <col min="2" max="2" width="3.140625" style="22" bestFit="1" customWidth="1"/>
    <col min="3" max="3" width="53.85546875" style="6" bestFit="1" customWidth="1"/>
    <col min="4" max="5" width="10.42578125" style="6" bestFit="1" customWidth="1"/>
    <col min="6" max="6" width="7.42578125" style="6" bestFit="1" customWidth="1"/>
    <col min="7" max="7" width="11" style="6" bestFit="1" customWidth="1"/>
    <col min="8" max="8" width="6" style="6" bestFit="1" customWidth="1"/>
    <col min="9" max="9" width="18.140625" style="6" bestFit="1" customWidth="1"/>
    <col min="10" max="10" width="9.7109375" style="6" bestFit="1" customWidth="1"/>
    <col min="11" max="12" width="7.42578125" style="6" bestFit="1" customWidth="1"/>
    <col min="13" max="13" width="10.140625" style="6" bestFit="1" customWidth="1"/>
    <col min="14" max="14" width="5.42578125" style="6" bestFit="1" customWidth="1"/>
    <col min="15" max="15" width="17.140625" style="6" bestFit="1" customWidth="1"/>
    <col min="16" max="16384" width="8.7109375" style="6"/>
  </cols>
  <sheetData>
    <row r="1" spans="1:15" x14ac:dyDescent="0.2">
      <c r="A1" s="6" t="s">
        <v>126</v>
      </c>
      <c r="B1" s="100" t="s">
        <v>127</v>
      </c>
    </row>
    <row r="2" spans="1:15" x14ac:dyDescent="0.2">
      <c r="B2" s="3" t="s">
        <v>17</v>
      </c>
      <c r="C2" s="6" t="s">
        <v>16</v>
      </c>
    </row>
    <row r="3" spans="1:15" ht="12" thickBot="1" x14ac:dyDescent="0.25">
      <c r="B3" s="49"/>
      <c r="C3" s="49"/>
      <c r="D3" s="49"/>
      <c r="E3" s="49"/>
      <c r="F3" s="49"/>
      <c r="G3" s="49"/>
      <c r="H3" s="49"/>
      <c r="I3" s="49"/>
      <c r="J3" s="49"/>
      <c r="K3" s="49"/>
      <c r="L3" s="49"/>
      <c r="M3" s="49"/>
      <c r="N3" s="49"/>
      <c r="O3" s="248" t="s">
        <v>57</v>
      </c>
    </row>
    <row r="4" spans="1:15" ht="12" thickBot="1" x14ac:dyDescent="0.25">
      <c r="B4" s="285" t="s">
        <v>18</v>
      </c>
      <c r="C4" s="288" t="s">
        <v>19</v>
      </c>
      <c r="D4" s="291" t="s">
        <v>249</v>
      </c>
      <c r="E4" s="292"/>
      <c r="F4" s="292"/>
      <c r="G4" s="292"/>
      <c r="H4" s="292"/>
      <c r="I4" s="293"/>
      <c r="J4" s="291" t="s">
        <v>248</v>
      </c>
      <c r="K4" s="292"/>
      <c r="L4" s="292"/>
      <c r="M4" s="292"/>
      <c r="N4" s="292"/>
      <c r="O4" s="293"/>
    </row>
    <row r="5" spans="1:15" ht="12" thickBot="1" x14ac:dyDescent="0.25">
      <c r="B5" s="286"/>
      <c r="C5" s="289"/>
      <c r="D5" s="298" t="s">
        <v>59</v>
      </c>
      <c r="E5" s="300" t="s">
        <v>62</v>
      </c>
      <c r="F5" s="292"/>
      <c r="G5" s="292"/>
      <c r="H5" s="293"/>
      <c r="I5" s="296" t="s">
        <v>61</v>
      </c>
      <c r="J5" s="294" t="s">
        <v>59</v>
      </c>
      <c r="K5" s="292" t="s">
        <v>60</v>
      </c>
      <c r="L5" s="292"/>
      <c r="M5" s="292"/>
      <c r="N5" s="293"/>
      <c r="O5" s="294" t="s">
        <v>61</v>
      </c>
    </row>
    <row r="6" spans="1:15" ht="12" thickBot="1" x14ac:dyDescent="0.25">
      <c r="B6" s="287"/>
      <c r="C6" s="290"/>
      <c r="D6" s="299"/>
      <c r="E6" s="28" t="s">
        <v>63</v>
      </c>
      <c r="F6" s="28" t="s">
        <v>64</v>
      </c>
      <c r="G6" s="28" t="s">
        <v>65</v>
      </c>
      <c r="H6" s="28" t="s">
        <v>25</v>
      </c>
      <c r="I6" s="297"/>
      <c r="J6" s="295"/>
      <c r="K6" s="28" t="s">
        <v>63</v>
      </c>
      <c r="L6" s="28" t="s">
        <v>64</v>
      </c>
      <c r="M6" s="28" t="s">
        <v>65</v>
      </c>
      <c r="N6" s="28" t="s">
        <v>25</v>
      </c>
      <c r="O6" s="295"/>
    </row>
    <row r="7" spans="1:15" s="43" customFormat="1" ht="10.5" customHeight="1" thickBot="1" x14ac:dyDescent="0.3">
      <c r="B7" s="41" t="s">
        <v>17</v>
      </c>
      <c r="C7" s="41" t="s">
        <v>22</v>
      </c>
      <c r="D7" s="41" t="s">
        <v>28</v>
      </c>
      <c r="E7" s="41" t="s">
        <v>29</v>
      </c>
      <c r="F7" s="41" t="s">
        <v>30</v>
      </c>
      <c r="G7" s="41" t="s">
        <v>31</v>
      </c>
      <c r="H7" s="41" t="s">
        <v>32</v>
      </c>
      <c r="I7" s="42" t="s">
        <v>66</v>
      </c>
      <c r="J7" s="42" t="s">
        <v>34</v>
      </c>
      <c r="K7" s="42" t="s">
        <v>35</v>
      </c>
      <c r="L7" s="41" t="s">
        <v>36</v>
      </c>
      <c r="M7" s="41" t="s">
        <v>37</v>
      </c>
      <c r="N7" s="41" t="s">
        <v>38</v>
      </c>
      <c r="O7" s="42" t="s">
        <v>67</v>
      </c>
    </row>
    <row r="8" spans="1:15" x14ac:dyDescent="0.2">
      <c r="B8" s="29" t="s">
        <v>20</v>
      </c>
      <c r="C8" s="30" t="s">
        <v>21</v>
      </c>
      <c r="D8" s="31"/>
      <c r="E8" s="31"/>
      <c r="F8" s="31"/>
      <c r="G8" s="31"/>
      <c r="H8" s="31"/>
      <c r="I8" s="32"/>
      <c r="J8" s="31"/>
      <c r="K8" s="31"/>
      <c r="L8" s="31"/>
      <c r="M8" s="31"/>
      <c r="N8" s="31"/>
      <c r="O8" s="31"/>
    </row>
    <row r="9" spans="1:15" x14ac:dyDescent="0.2">
      <c r="B9" s="33">
        <v>1</v>
      </c>
      <c r="C9" s="34" t="s">
        <v>0</v>
      </c>
      <c r="D9" s="44">
        <v>5235538.180524</v>
      </c>
      <c r="E9" s="44">
        <v>0</v>
      </c>
      <c r="F9" s="44">
        <v>0</v>
      </c>
      <c r="G9" s="44">
        <v>0</v>
      </c>
      <c r="H9" s="44">
        <v>0</v>
      </c>
      <c r="I9" s="44">
        <f>D9-E9-F9-G9-H9</f>
        <v>5235538.180524</v>
      </c>
      <c r="J9" s="44">
        <v>5103844.1384089999</v>
      </c>
      <c r="K9" s="44">
        <v>0</v>
      </c>
      <c r="L9" s="44">
        <v>0</v>
      </c>
      <c r="M9" s="44">
        <v>0</v>
      </c>
      <c r="N9" s="44">
        <v>0</v>
      </c>
      <c r="O9" s="44">
        <f>J9-K9-L9-M9-N9</f>
        <v>5103844.1384089999</v>
      </c>
    </row>
    <row r="10" spans="1:15" x14ac:dyDescent="0.2">
      <c r="B10" s="33">
        <v>2</v>
      </c>
      <c r="C10" s="34" t="s">
        <v>1</v>
      </c>
      <c r="D10" s="44">
        <v>0</v>
      </c>
      <c r="E10" s="44">
        <v>0</v>
      </c>
      <c r="F10" s="44">
        <v>0</v>
      </c>
      <c r="G10" s="44">
        <v>0</v>
      </c>
      <c r="H10" s="44">
        <v>0</v>
      </c>
      <c r="I10" s="44">
        <f t="shared" ref="I10:I19" si="0">D10-E10-F10-G10-H10</f>
        <v>0</v>
      </c>
      <c r="J10" s="44">
        <v>10789.5</v>
      </c>
      <c r="K10" s="44">
        <v>0</v>
      </c>
      <c r="L10" s="44">
        <v>0</v>
      </c>
      <c r="M10" s="44">
        <v>0</v>
      </c>
      <c r="N10" s="44">
        <v>0</v>
      </c>
      <c r="O10" s="44">
        <f t="shared" ref="O10:O19" si="1">J10-K10-L10-M10-N10</f>
        <v>10789.5</v>
      </c>
    </row>
    <row r="11" spans="1:15" x14ac:dyDescent="0.2">
      <c r="B11" s="33">
        <v>3</v>
      </c>
      <c r="C11" s="34" t="s">
        <v>2</v>
      </c>
      <c r="D11" s="44">
        <v>428.70259199999998</v>
      </c>
      <c r="E11" s="44">
        <v>0</v>
      </c>
      <c r="F11" s="44">
        <v>0</v>
      </c>
      <c r="G11" s="44">
        <v>0</v>
      </c>
      <c r="H11" s="44">
        <v>0</v>
      </c>
      <c r="I11" s="44">
        <f t="shared" si="0"/>
        <v>428.70259199999998</v>
      </c>
      <c r="J11" s="44">
        <v>0</v>
      </c>
      <c r="K11" s="44">
        <v>0</v>
      </c>
      <c r="L11" s="44">
        <v>0</v>
      </c>
      <c r="M11" s="44">
        <v>0</v>
      </c>
      <c r="N11" s="44">
        <v>0</v>
      </c>
      <c r="O11" s="44">
        <f t="shared" si="1"/>
        <v>0</v>
      </c>
    </row>
    <row r="12" spans="1:15" x14ac:dyDescent="0.2">
      <c r="B12" s="33">
        <v>4</v>
      </c>
      <c r="C12" s="34" t="s">
        <v>68</v>
      </c>
      <c r="D12" s="44">
        <f>1848667.420489+283730.681111</f>
        <v>2132398.1015999997</v>
      </c>
      <c r="E12" s="44">
        <v>0</v>
      </c>
      <c r="F12" s="44">
        <v>0</v>
      </c>
      <c r="G12" s="44">
        <v>0</v>
      </c>
      <c r="H12" s="44">
        <v>0</v>
      </c>
      <c r="I12" s="44">
        <f t="shared" si="0"/>
        <v>2132398.1015999997</v>
      </c>
      <c r="J12" s="44">
        <f>3600513.179729+343862.290877</f>
        <v>3944375.4706060002</v>
      </c>
      <c r="K12" s="44">
        <v>0</v>
      </c>
      <c r="L12" s="44">
        <v>0</v>
      </c>
      <c r="M12" s="44">
        <v>0</v>
      </c>
      <c r="N12" s="44">
        <v>0</v>
      </c>
      <c r="O12" s="44">
        <f t="shared" si="1"/>
        <v>3944375.4706060002</v>
      </c>
    </row>
    <row r="13" spans="1:15" x14ac:dyDescent="0.2">
      <c r="B13" s="33">
        <v>5</v>
      </c>
      <c r="C13" s="34" t="s">
        <v>4</v>
      </c>
      <c r="D13" s="44">
        <v>603449.96147700003</v>
      </c>
      <c r="E13" s="44">
        <v>0</v>
      </c>
      <c r="F13" s="44">
        <v>0</v>
      </c>
      <c r="G13" s="44">
        <v>0</v>
      </c>
      <c r="H13" s="44">
        <v>0</v>
      </c>
      <c r="I13" s="44">
        <f t="shared" si="0"/>
        <v>603449.96147700003</v>
      </c>
      <c r="J13" s="44">
        <v>596747.83774799993</v>
      </c>
      <c r="K13" s="44">
        <v>0</v>
      </c>
      <c r="L13" s="44">
        <v>0</v>
      </c>
      <c r="M13" s="44">
        <v>0</v>
      </c>
      <c r="N13" s="44">
        <v>0</v>
      </c>
      <c r="O13" s="44">
        <f t="shared" si="1"/>
        <v>596747.83774799993</v>
      </c>
    </row>
    <row r="14" spans="1:15" x14ac:dyDescent="0.2">
      <c r="B14" s="33">
        <v>6</v>
      </c>
      <c r="C14" s="34" t="s">
        <v>5</v>
      </c>
      <c r="D14" s="44">
        <v>278805.32694499998</v>
      </c>
      <c r="E14" s="44">
        <v>0</v>
      </c>
      <c r="F14" s="44">
        <v>0</v>
      </c>
      <c r="G14" s="44">
        <v>0</v>
      </c>
      <c r="H14" s="44">
        <v>0</v>
      </c>
      <c r="I14" s="44">
        <f t="shared" si="0"/>
        <v>278805.32694499998</v>
      </c>
      <c r="J14" s="44">
        <v>150930.65102399999</v>
      </c>
      <c r="K14" s="44">
        <v>0</v>
      </c>
      <c r="L14" s="44">
        <v>0</v>
      </c>
      <c r="M14" s="44">
        <v>0</v>
      </c>
      <c r="N14" s="44">
        <v>0</v>
      </c>
      <c r="O14" s="44">
        <f t="shared" si="1"/>
        <v>150930.65102399999</v>
      </c>
    </row>
    <row r="15" spans="1:15" x14ac:dyDescent="0.2">
      <c r="B15" s="33">
        <v>7</v>
      </c>
      <c r="C15" s="34" t="s">
        <v>69</v>
      </c>
      <c r="D15" s="44">
        <v>11640983.539027</v>
      </c>
      <c r="E15" s="44">
        <v>4230.2142880000001</v>
      </c>
      <c r="F15" s="44">
        <v>0</v>
      </c>
      <c r="G15" s="44">
        <v>0</v>
      </c>
      <c r="H15" s="44">
        <v>0</v>
      </c>
      <c r="I15" s="44">
        <f>D15-E15-F15-G15-H15</f>
        <v>11636753.324739</v>
      </c>
      <c r="J15" s="44">
        <v>11309754.615403</v>
      </c>
      <c r="K15" s="44">
        <v>4542.1743470000001</v>
      </c>
      <c r="L15" s="44">
        <v>0</v>
      </c>
      <c r="M15" s="44">
        <v>0</v>
      </c>
      <c r="N15" s="44">
        <v>0</v>
      </c>
      <c r="O15" s="44">
        <f t="shared" si="1"/>
        <v>11305212.441056</v>
      </c>
    </row>
    <row r="16" spans="1:15" x14ac:dyDescent="0.2">
      <c r="B16" s="33">
        <v>8</v>
      </c>
      <c r="C16" s="34" t="s">
        <v>70</v>
      </c>
      <c r="D16" s="44">
        <v>923241.16062800004</v>
      </c>
      <c r="E16" s="44">
        <v>4494.6578689999997</v>
      </c>
      <c r="F16" s="44">
        <v>0</v>
      </c>
      <c r="G16" s="44">
        <v>34238.596012000002</v>
      </c>
      <c r="H16" s="44">
        <v>0</v>
      </c>
      <c r="I16" s="44">
        <f>D16-E16-F16-G16-H16</f>
        <v>884507.90674700006</v>
      </c>
      <c r="J16" s="44">
        <v>979668.52832100005</v>
      </c>
      <c r="K16" s="44">
        <v>5150.2682459999996</v>
      </c>
      <c r="L16" s="44">
        <v>0</v>
      </c>
      <c r="M16" s="44">
        <v>35288.429084000003</v>
      </c>
      <c r="N16" s="44">
        <v>0</v>
      </c>
      <c r="O16" s="44">
        <f>J16-K16-L16-M16-N16</f>
        <v>939229.83099099994</v>
      </c>
    </row>
    <row r="17" spans="2:18" x14ac:dyDescent="0.2">
      <c r="B17" s="33">
        <v>9</v>
      </c>
      <c r="C17" s="34" t="s">
        <v>8</v>
      </c>
      <c r="D17" s="44">
        <v>3929495.3767320001</v>
      </c>
      <c r="E17" s="44">
        <v>21027.454343000001</v>
      </c>
      <c r="F17" s="44">
        <v>0</v>
      </c>
      <c r="G17" s="44">
        <v>24.75</v>
      </c>
      <c r="H17" s="44">
        <v>0</v>
      </c>
      <c r="I17" s="44">
        <f t="shared" si="0"/>
        <v>3908443.1723890002</v>
      </c>
      <c r="J17" s="44">
        <v>4880008.3962340001</v>
      </c>
      <c r="K17" s="44">
        <v>22105.433846</v>
      </c>
      <c r="L17" s="44">
        <v>0</v>
      </c>
      <c r="M17" s="44">
        <v>24.75</v>
      </c>
      <c r="N17" s="44">
        <v>0</v>
      </c>
      <c r="O17" s="44">
        <f t="shared" si="1"/>
        <v>4857878.2123880005</v>
      </c>
      <c r="R17" s="6">
        <v>343862.29087700002</v>
      </c>
    </row>
    <row r="18" spans="2:18" x14ac:dyDescent="0.2">
      <c r="B18" s="33">
        <v>10</v>
      </c>
      <c r="C18" s="34" t="s">
        <v>9</v>
      </c>
      <c r="D18" s="44">
        <v>243038.81447300006</v>
      </c>
      <c r="E18" s="44">
        <v>0</v>
      </c>
      <c r="F18" s="44">
        <v>0</v>
      </c>
      <c r="G18" s="44">
        <v>232.62728899999999</v>
      </c>
      <c r="H18" s="44">
        <v>0</v>
      </c>
      <c r="I18" s="44">
        <f t="shared" si="0"/>
        <v>242806.18718400007</v>
      </c>
      <c r="J18" s="44">
        <v>227974.98849199997</v>
      </c>
      <c r="K18" s="44">
        <v>0</v>
      </c>
      <c r="L18" s="44">
        <v>0</v>
      </c>
      <c r="M18" s="44">
        <v>88.026071999999999</v>
      </c>
      <c r="N18" s="44">
        <v>0</v>
      </c>
      <c r="O18" s="44">
        <f t="shared" si="1"/>
        <v>227886.96241999997</v>
      </c>
    </row>
    <row r="19" spans="2:18" x14ac:dyDescent="0.2">
      <c r="B19" s="33">
        <v>11</v>
      </c>
      <c r="C19" s="34" t="s">
        <v>10</v>
      </c>
      <c r="D19" s="44">
        <v>2518548.5639000004</v>
      </c>
      <c r="E19" s="44">
        <v>0</v>
      </c>
      <c r="F19" s="44">
        <v>0</v>
      </c>
      <c r="G19" s="44">
        <v>0</v>
      </c>
      <c r="H19" s="44">
        <v>0</v>
      </c>
      <c r="I19" s="44">
        <f t="shared" si="0"/>
        <v>2518548.5639000004</v>
      </c>
      <c r="J19" s="44">
        <v>2366980.4686160004</v>
      </c>
      <c r="K19" s="44">
        <v>0</v>
      </c>
      <c r="L19" s="44">
        <v>0</v>
      </c>
      <c r="M19" s="44">
        <v>0</v>
      </c>
      <c r="N19" s="44">
        <v>0</v>
      </c>
      <c r="O19" s="44">
        <f t="shared" si="1"/>
        <v>2366980.4686160004</v>
      </c>
    </row>
    <row r="20" spans="2:18" s="9" customFormat="1" x14ac:dyDescent="0.2">
      <c r="B20" s="36"/>
      <c r="C20" s="35" t="s">
        <v>51</v>
      </c>
      <c r="D20" s="45">
        <f>SUM(D9:D19)</f>
        <v>27505927.727897998</v>
      </c>
      <c r="E20" s="45">
        <f t="shared" ref="E20:H20" si="2">SUM(E9:E19)</f>
        <v>29752.326500000003</v>
      </c>
      <c r="F20" s="44">
        <v>0</v>
      </c>
      <c r="G20" s="45">
        <f t="shared" si="2"/>
        <v>34495.973300999998</v>
      </c>
      <c r="H20" s="45">
        <f t="shared" si="2"/>
        <v>0</v>
      </c>
      <c r="I20" s="45">
        <f>SUM(I9:I19)</f>
        <v>27441679.428096998</v>
      </c>
      <c r="J20" s="45">
        <f>SUM(J9:J19)</f>
        <v>29571074.594853003</v>
      </c>
      <c r="K20" s="45">
        <f t="shared" ref="K20:O20" si="3">SUM(K9:K19)</f>
        <v>31797.876439</v>
      </c>
      <c r="L20" s="45">
        <f t="shared" si="3"/>
        <v>0</v>
      </c>
      <c r="M20" s="45">
        <f t="shared" si="3"/>
        <v>35401.205156000004</v>
      </c>
      <c r="N20" s="45">
        <f t="shared" si="3"/>
        <v>0</v>
      </c>
      <c r="O20" s="45">
        <f t="shared" si="3"/>
        <v>29503875.513258003</v>
      </c>
    </row>
    <row r="21" spans="2:18" x14ac:dyDescent="0.2">
      <c r="B21" s="33"/>
      <c r="C21" s="34"/>
      <c r="D21" s="44"/>
      <c r="E21" s="44"/>
      <c r="F21" s="44"/>
      <c r="G21" s="44"/>
      <c r="H21" s="44"/>
      <c r="I21" s="50"/>
      <c r="J21" s="34"/>
      <c r="K21" s="34"/>
      <c r="L21" s="34"/>
      <c r="M21" s="34"/>
      <c r="N21" s="34"/>
      <c r="O21" s="34"/>
    </row>
    <row r="22" spans="2:18" x14ac:dyDescent="0.2">
      <c r="B22" s="36" t="s">
        <v>52</v>
      </c>
      <c r="C22" s="37" t="s">
        <v>71</v>
      </c>
      <c r="D22" s="44"/>
      <c r="E22" s="44"/>
      <c r="F22" s="44"/>
      <c r="G22" s="44"/>
      <c r="H22" s="44"/>
      <c r="I22" s="50"/>
      <c r="J22" s="34"/>
      <c r="K22" s="34"/>
      <c r="L22" s="34"/>
      <c r="M22" s="34"/>
      <c r="N22" s="34"/>
      <c r="O22" s="34"/>
    </row>
    <row r="23" spans="2:18" x14ac:dyDescent="0.2">
      <c r="B23" s="33">
        <v>1</v>
      </c>
      <c r="C23" s="34" t="s">
        <v>0</v>
      </c>
      <c r="D23" s="44">
        <v>464.26898660000001</v>
      </c>
      <c r="E23" s="44">
        <v>0</v>
      </c>
      <c r="F23" s="44">
        <v>0</v>
      </c>
      <c r="G23" s="44">
        <v>0</v>
      </c>
      <c r="H23" s="44">
        <v>0</v>
      </c>
      <c r="I23" s="44">
        <f t="shared" ref="I23:I32" si="4">D23-E23-F23-G23-H23</f>
        <v>464.26898660000001</v>
      </c>
      <c r="J23" s="44">
        <v>23850.906921200003</v>
      </c>
      <c r="K23" s="44">
        <v>0</v>
      </c>
      <c r="L23" s="44">
        <v>0</v>
      </c>
      <c r="M23" s="44">
        <v>0</v>
      </c>
      <c r="N23" s="44">
        <v>0</v>
      </c>
      <c r="O23" s="44">
        <f t="shared" ref="O23:O32" si="5">J23-K23-L23-M23-N23</f>
        <v>23850.906921200003</v>
      </c>
    </row>
    <row r="24" spans="2:18" x14ac:dyDescent="0.2">
      <c r="B24" s="33">
        <v>2</v>
      </c>
      <c r="C24" s="34" t="s">
        <v>1</v>
      </c>
      <c r="D24" s="44">
        <v>2218.6233219999999</v>
      </c>
      <c r="E24" s="44">
        <v>0</v>
      </c>
      <c r="F24" s="44">
        <v>0</v>
      </c>
      <c r="G24" s="44">
        <v>0</v>
      </c>
      <c r="H24" s="44">
        <v>0</v>
      </c>
      <c r="I24" s="44">
        <f t="shared" si="4"/>
        <v>2218.6233219999999</v>
      </c>
      <c r="J24" s="44">
        <v>2447.8964799999999</v>
      </c>
      <c r="K24" s="44">
        <v>0</v>
      </c>
      <c r="L24" s="44">
        <v>2447.8964799999999</v>
      </c>
      <c r="M24" s="44">
        <v>0</v>
      </c>
      <c r="N24" s="44">
        <v>0</v>
      </c>
      <c r="O24" s="44">
        <f t="shared" si="5"/>
        <v>0</v>
      </c>
    </row>
    <row r="25" spans="2:18" x14ac:dyDescent="0.2">
      <c r="B25" s="33">
        <v>3</v>
      </c>
      <c r="C25" s="34" t="s">
        <v>2</v>
      </c>
      <c r="D25" s="44">
        <v>0</v>
      </c>
      <c r="E25" s="44">
        <v>0</v>
      </c>
      <c r="F25" s="44">
        <v>0</v>
      </c>
      <c r="G25" s="44">
        <v>0</v>
      </c>
      <c r="H25" s="44">
        <v>0</v>
      </c>
      <c r="I25" s="44">
        <f t="shared" si="4"/>
        <v>0</v>
      </c>
      <c r="J25" s="44">
        <v>0</v>
      </c>
      <c r="K25" s="44">
        <v>0</v>
      </c>
      <c r="L25" s="44">
        <v>0</v>
      </c>
      <c r="M25" s="44">
        <v>0</v>
      </c>
      <c r="N25" s="44">
        <v>0</v>
      </c>
      <c r="O25" s="44">
        <f t="shared" si="5"/>
        <v>0</v>
      </c>
    </row>
    <row r="26" spans="2:18" x14ac:dyDescent="0.2">
      <c r="B26" s="33">
        <v>4</v>
      </c>
      <c r="C26" s="34" t="s">
        <v>68</v>
      </c>
      <c r="D26" s="44">
        <v>0</v>
      </c>
      <c r="E26" s="44">
        <v>0</v>
      </c>
      <c r="F26" s="44">
        <v>0</v>
      </c>
      <c r="G26" s="44">
        <v>0</v>
      </c>
      <c r="H26" s="44">
        <v>0</v>
      </c>
      <c r="I26" s="44">
        <f t="shared" si="4"/>
        <v>0</v>
      </c>
      <c r="J26" s="44">
        <v>0</v>
      </c>
      <c r="K26" s="44">
        <v>0</v>
      </c>
      <c r="L26" s="44">
        <v>0</v>
      </c>
      <c r="M26" s="44">
        <v>0</v>
      </c>
      <c r="N26" s="44">
        <v>0</v>
      </c>
      <c r="O26" s="44">
        <f t="shared" si="5"/>
        <v>0</v>
      </c>
    </row>
    <row r="27" spans="2:18" x14ac:dyDescent="0.2">
      <c r="B27" s="33">
        <v>5</v>
      </c>
      <c r="C27" s="34" t="s">
        <v>4</v>
      </c>
      <c r="D27" s="44">
        <v>0</v>
      </c>
      <c r="E27" s="44">
        <v>0</v>
      </c>
      <c r="F27" s="44">
        <v>0</v>
      </c>
      <c r="G27" s="44">
        <v>0</v>
      </c>
      <c r="H27" s="44">
        <v>0</v>
      </c>
      <c r="I27" s="44">
        <f t="shared" si="4"/>
        <v>0</v>
      </c>
      <c r="J27" s="44">
        <v>0</v>
      </c>
      <c r="K27" s="44">
        <v>0</v>
      </c>
      <c r="L27" s="44">
        <v>0</v>
      </c>
      <c r="M27" s="44">
        <v>0</v>
      </c>
      <c r="N27" s="44">
        <v>0</v>
      </c>
      <c r="O27" s="44">
        <f t="shared" si="5"/>
        <v>0</v>
      </c>
    </row>
    <row r="28" spans="2:18" x14ac:dyDescent="0.2">
      <c r="B28" s="33">
        <v>6</v>
      </c>
      <c r="C28" s="34" t="s">
        <v>5</v>
      </c>
      <c r="D28" s="44">
        <v>0</v>
      </c>
      <c r="E28" s="44">
        <v>0</v>
      </c>
      <c r="F28" s="44">
        <v>0</v>
      </c>
      <c r="G28" s="44">
        <v>0</v>
      </c>
      <c r="H28" s="44">
        <v>0</v>
      </c>
      <c r="I28" s="44">
        <f t="shared" si="4"/>
        <v>0</v>
      </c>
      <c r="J28" s="44">
        <v>0</v>
      </c>
      <c r="K28" s="44">
        <v>0</v>
      </c>
      <c r="L28" s="44">
        <v>0</v>
      </c>
      <c r="M28" s="44">
        <v>0</v>
      </c>
      <c r="N28" s="44">
        <v>0</v>
      </c>
      <c r="O28" s="44">
        <f t="shared" si="5"/>
        <v>0</v>
      </c>
    </row>
    <row r="29" spans="2:18" x14ac:dyDescent="0.2">
      <c r="B29" s="33">
        <v>7</v>
      </c>
      <c r="C29" s="34" t="s">
        <v>69</v>
      </c>
      <c r="D29" s="44">
        <v>0</v>
      </c>
      <c r="E29" s="44">
        <v>0</v>
      </c>
      <c r="F29" s="44">
        <v>0</v>
      </c>
      <c r="G29" s="44">
        <v>0</v>
      </c>
      <c r="H29" s="44">
        <v>0</v>
      </c>
      <c r="I29" s="44">
        <f t="shared" si="4"/>
        <v>0</v>
      </c>
      <c r="J29" s="44">
        <v>0</v>
      </c>
      <c r="K29" s="44">
        <v>0</v>
      </c>
      <c r="L29" s="44">
        <v>0</v>
      </c>
      <c r="M29" s="44">
        <v>0</v>
      </c>
      <c r="N29" s="44">
        <v>0</v>
      </c>
      <c r="O29" s="44">
        <f t="shared" si="5"/>
        <v>0</v>
      </c>
    </row>
    <row r="30" spans="2:18" x14ac:dyDescent="0.2">
      <c r="B30" s="33">
        <v>8</v>
      </c>
      <c r="C30" s="34" t="s">
        <v>70</v>
      </c>
      <c r="D30" s="44">
        <v>50778.207761800004</v>
      </c>
      <c r="E30" s="44">
        <v>3817.4638715000001</v>
      </c>
      <c r="F30" s="44">
        <v>26520.974862499999</v>
      </c>
      <c r="G30" s="44">
        <v>0</v>
      </c>
      <c r="H30" s="44">
        <v>0</v>
      </c>
      <c r="I30" s="44">
        <f t="shared" si="4"/>
        <v>20439.769027800001</v>
      </c>
      <c r="J30" s="44">
        <v>58281.271091200004</v>
      </c>
      <c r="K30" s="44">
        <v>1872.69092</v>
      </c>
      <c r="L30" s="44">
        <v>32960.346439499997</v>
      </c>
      <c r="M30" s="44">
        <v>0</v>
      </c>
      <c r="N30" s="44">
        <v>0</v>
      </c>
      <c r="O30" s="44">
        <f t="shared" si="5"/>
        <v>23448.233731700006</v>
      </c>
    </row>
    <row r="31" spans="2:18" x14ac:dyDescent="0.2">
      <c r="B31" s="33">
        <v>9</v>
      </c>
      <c r="C31" s="34" t="s">
        <v>8</v>
      </c>
      <c r="D31" s="44">
        <v>145082.2521976</v>
      </c>
      <c r="E31" s="44">
        <v>53.381307999999997</v>
      </c>
      <c r="F31" s="44">
        <v>27878.757931</v>
      </c>
      <c r="G31" s="44">
        <v>0</v>
      </c>
      <c r="H31" s="44">
        <v>0</v>
      </c>
      <c r="I31" s="44">
        <f t="shared" si="4"/>
        <v>117150.11295859999</v>
      </c>
      <c r="J31" s="44">
        <v>169664.0326717</v>
      </c>
      <c r="K31" s="44">
        <v>113.26725500000001</v>
      </c>
      <c r="L31" s="44">
        <v>19700.478102500001</v>
      </c>
      <c r="M31" s="44">
        <v>0</v>
      </c>
      <c r="N31" s="44">
        <v>0</v>
      </c>
      <c r="O31" s="44">
        <f t="shared" si="5"/>
        <v>149850.28731419999</v>
      </c>
    </row>
    <row r="32" spans="2:18" x14ac:dyDescent="0.2">
      <c r="B32" s="33">
        <v>10</v>
      </c>
      <c r="C32" s="34" t="s">
        <v>9</v>
      </c>
      <c r="D32" s="44">
        <v>72203.411806000004</v>
      </c>
      <c r="E32" s="44">
        <v>0</v>
      </c>
      <c r="F32" s="44">
        <v>0</v>
      </c>
      <c r="G32" s="44">
        <v>0</v>
      </c>
      <c r="H32" s="44">
        <v>0</v>
      </c>
      <c r="I32" s="44">
        <f t="shared" si="4"/>
        <v>72203.411806000004</v>
      </c>
      <c r="J32" s="44">
        <v>2511.4489509999999</v>
      </c>
      <c r="K32" s="44">
        <v>0</v>
      </c>
      <c r="L32" s="44">
        <v>0</v>
      </c>
      <c r="M32" s="44">
        <v>0</v>
      </c>
      <c r="N32" s="44">
        <v>0</v>
      </c>
      <c r="O32" s="44">
        <f t="shared" si="5"/>
        <v>2511.4489509999999</v>
      </c>
    </row>
    <row r="33" spans="2:15" s="9" customFormat="1" x14ac:dyDescent="0.2">
      <c r="B33" s="36"/>
      <c r="C33" s="35" t="s">
        <v>72</v>
      </c>
      <c r="D33" s="45">
        <f t="shared" ref="D33:O33" si="6">SUM(D23:D32)</f>
        <v>270746.76407400001</v>
      </c>
      <c r="E33" s="45">
        <f t="shared" si="6"/>
        <v>3870.8451795000001</v>
      </c>
      <c r="F33" s="45">
        <f t="shared" si="6"/>
        <v>54399.732793499999</v>
      </c>
      <c r="G33" s="45">
        <f t="shared" si="6"/>
        <v>0</v>
      </c>
      <c r="H33" s="45">
        <f t="shared" si="6"/>
        <v>0</v>
      </c>
      <c r="I33" s="45">
        <f>SUM(I23:I32)</f>
        <v>212476.186101</v>
      </c>
      <c r="J33" s="45">
        <f>SUM(J23:J32)</f>
        <v>256755.55611509999</v>
      </c>
      <c r="K33" s="45">
        <f t="shared" si="6"/>
        <v>1985.958175</v>
      </c>
      <c r="L33" s="45">
        <f t="shared" si="6"/>
        <v>55108.721021999998</v>
      </c>
      <c r="M33" s="45">
        <f t="shared" si="6"/>
        <v>0</v>
      </c>
      <c r="N33" s="45">
        <f t="shared" si="6"/>
        <v>0</v>
      </c>
      <c r="O33" s="45">
        <f t="shared" si="6"/>
        <v>199660.8769181</v>
      </c>
    </row>
    <row r="34" spans="2:15" x14ac:dyDescent="0.2">
      <c r="B34" s="33"/>
      <c r="C34" s="34"/>
      <c r="D34" s="44"/>
      <c r="E34" s="44"/>
      <c r="F34" s="44"/>
      <c r="G34" s="44"/>
      <c r="H34" s="44"/>
      <c r="I34" s="50"/>
      <c r="J34" s="34"/>
      <c r="K34" s="34"/>
      <c r="L34" s="34"/>
      <c r="M34" s="34"/>
      <c r="N34" s="34"/>
      <c r="O34" s="34"/>
    </row>
    <row r="35" spans="2:15" x14ac:dyDescent="0.2">
      <c r="B35" s="36" t="s">
        <v>54</v>
      </c>
      <c r="C35" s="37" t="s">
        <v>73</v>
      </c>
      <c r="D35" s="44"/>
      <c r="E35" s="44"/>
      <c r="F35" s="44"/>
      <c r="G35" s="44"/>
      <c r="H35" s="44"/>
      <c r="I35" s="50"/>
      <c r="J35" s="34"/>
      <c r="K35" s="34"/>
      <c r="L35" s="34"/>
      <c r="M35" s="34"/>
      <c r="N35" s="34"/>
      <c r="O35" s="34"/>
    </row>
    <row r="36" spans="2:15" x14ac:dyDescent="0.2">
      <c r="B36" s="33">
        <v>1</v>
      </c>
      <c r="C36" s="34" t="s">
        <v>0</v>
      </c>
      <c r="D36" s="44">
        <v>871960.74054000003</v>
      </c>
      <c r="E36" s="44">
        <v>0</v>
      </c>
      <c r="F36" s="44">
        <v>0</v>
      </c>
      <c r="G36" s="44">
        <v>0</v>
      </c>
      <c r="H36" s="44">
        <v>0</v>
      </c>
      <c r="I36" s="44">
        <f t="shared" ref="I36:I41" si="7">D36-E36-F36-G36-H36</f>
        <v>871960.74054000003</v>
      </c>
      <c r="J36" s="44">
        <v>615949.23628700001</v>
      </c>
      <c r="K36" s="44">
        <v>0</v>
      </c>
      <c r="L36" s="44">
        <v>0</v>
      </c>
      <c r="M36" s="44">
        <v>0</v>
      </c>
      <c r="N36" s="44">
        <v>0</v>
      </c>
      <c r="O36" s="44">
        <f t="shared" ref="O36:O41" si="8">J36-K36-L36-M36-N36</f>
        <v>615949.23628700001</v>
      </c>
    </row>
    <row r="37" spans="2:15" x14ac:dyDescent="0.2">
      <c r="B37" s="33">
        <v>2</v>
      </c>
      <c r="C37" s="34" t="s">
        <v>1</v>
      </c>
      <c r="D37" s="44">
        <v>0</v>
      </c>
      <c r="E37" s="44">
        <v>0</v>
      </c>
      <c r="F37" s="44">
        <v>0</v>
      </c>
      <c r="G37" s="44">
        <v>0</v>
      </c>
      <c r="H37" s="44">
        <v>0</v>
      </c>
      <c r="I37" s="44">
        <f t="shared" si="7"/>
        <v>0</v>
      </c>
      <c r="J37" s="44">
        <v>0</v>
      </c>
      <c r="K37" s="44">
        <v>0</v>
      </c>
      <c r="L37" s="44">
        <v>0</v>
      </c>
      <c r="M37" s="44">
        <v>0</v>
      </c>
      <c r="N37" s="44">
        <v>0</v>
      </c>
      <c r="O37" s="44">
        <f t="shared" si="8"/>
        <v>0</v>
      </c>
    </row>
    <row r="38" spans="2:15" x14ac:dyDescent="0.2">
      <c r="B38" s="33">
        <v>3</v>
      </c>
      <c r="C38" s="34" t="s">
        <v>2</v>
      </c>
      <c r="D38" s="44">
        <v>0</v>
      </c>
      <c r="E38" s="44">
        <v>0</v>
      </c>
      <c r="F38" s="44">
        <v>0</v>
      </c>
      <c r="G38" s="44">
        <v>0</v>
      </c>
      <c r="H38" s="44">
        <v>0</v>
      </c>
      <c r="I38" s="44">
        <f t="shared" si="7"/>
        <v>0</v>
      </c>
      <c r="J38" s="44">
        <v>0</v>
      </c>
      <c r="K38" s="44">
        <v>0</v>
      </c>
      <c r="L38" s="44">
        <v>0</v>
      </c>
      <c r="M38" s="44">
        <v>0</v>
      </c>
      <c r="N38" s="44">
        <v>0</v>
      </c>
      <c r="O38" s="44">
        <f t="shared" si="8"/>
        <v>0</v>
      </c>
    </row>
    <row r="39" spans="2:15" x14ac:dyDescent="0.2">
      <c r="B39" s="33">
        <v>4</v>
      </c>
      <c r="C39" s="34" t="s">
        <v>68</v>
      </c>
      <c r="D39" s="44">
        <v>0</v>
      </c>
      <c r="E39" s="44">
        <v>0</v>
      </c>
      <c r="F39" s="44">
        <v>0</v>
      </c>
      <c r="G39" s="44">
        <v>0</v>
      </c>
      <c r="H39" s="44">
        <v>0</v>
      </c>
      <c r="I39" s="44">
        <f t="shared" si="7"/>
        <v>0</v>
      </c>
      <c r="J39" s="44">
        <v>0</v>
      </c>
      <c r="K39" s="44">
        <v>0</v>
      </c>
      <c r="L39" s="44">
        <v>0</v>
      </c>
      <c r="M39" s="44">
        <v>0</v>
      </c>
      <c r="N39" s="44">
        <v>0</v>
      </c>
      <c r="O39" s="44">
        <f t="shared" si="8"/>
        <v>0</v>
      </c>
    </row>
    <row r="40" spans="2:15" x14ac:dyDescent="0.2">
      <c r="B40" s="33">
        <v>5</v>
      </c>
      <c r="C40" s="34" t="s">
        <v>4</v>
      </c>
      <c r="D40" s="44">
        <v>0</v>
      </c>
      <c r="E40" s="44">
        <v>0</v>
      </c>
      <c r="F40" s="44">
        <v>0</v>
      </c>
      <c r="G40" s="44">
        <v>0</v>
      </c>
      <c r="H40" s="44">
        <v>0</v>
      </c>
      <c r="I40" s="44">
        <f t="shared" si="7"/>
        <v>0</v>
      </c>
      <c r="J40" s="44">
        <v>0</v>
      </c>
      <c r="K40" s="44">
        <v>0</v>
      </c>
      <c r="L40" s="44">
        <v>0</v>
      </c>
      <c r="M40" s="44">
        <v>0</v>
      </c>
      <c r="N40" s="44">
        <v>0</v>
      </c>
      <c r="O40" s="44">
        <f t="shared" si="8"/>
        <v>0</v>
      </c>
    </row>
    <row r="41" spans="2:15" x14ac:dyDescent="0.2">
      <c r="B41" s="33">
        <v>6</v>
      </c>
      <c r="C41" s="34" t="s">
        <v>74</v>
      </c>
      <c r="D41" s="44">
        <v>0</v>
      </c>
      <c r="E41" s="44">
        <v>0</v>
      </c>
      <c r="F41" s="44">
        <v>0</v>
      </c>
      <c r="G41" s="44">
        <v>0</v>
      </c>
      <c r="H41" s="44">
        <v>0</v>
      </c>
      <c r="I41" s="44">
        <f t="shared" si="7"/>
        <v>0</v>
      </c>
      <c r="J41" s="44">
        <v>0</v>
      </c>
      <c r="K41" s="44">
        <v>0</v>
      </c>
      <c r="L41" s="44">
        <v>0</v>
      </c>
      <c r="M41" s="44">
        <v>0</v>
      </c>
      <c r="N41" s="44">
        <v>0</v>
      </c>
      <c r="O41" s="44">
        <f t="shared" si="8"/>
        <v>0</v>
      </c>
    </row>
    <row r="42" spans="2:15" s="9" customFormat="1" ht="12" thickBot="1" x14ac:dyDescent="0.25">
      <c r="B42" s="46"/>
      <c r="C42" s="38" t="s">
        <v>56</v>
      </c>
      <c r="D42" s="47">
        <f t="shared" ref="D42:H42" si="9">SUM(D36:D41)</f>
        <v>871960.74054000003</v>
      </c>
      <c r="E42" s="47">
        <f t="shared" si="9"/>
        <v>0</v>
      </c>
      <c r="F42" s="47">
        <f t="shared" si="9"/>
        <v>0</v>
      </c>
      <c r="G42" s="47">
        <f t="shared" si="9"/>
        <v>0</v>
      </c>
      <c r="H42" s="47">
        <f t="shared" si="9"/>
        <v>0</v>
      </c>
      <c r="I42" s="47">
        <f>SUM(I36:I41)</f>
        <v>871960.74054000003</v>
      </c>
      <c r="J42" s="47">
        <f t="shared" ref="J42:O42" si="10">SUM(J36:J41)</f>
        <v>615949.23628700001</v>
      </c>
      <c r="K42" s="47">
        <f t="shared" si="10"/>
        <v>0</v>
      </c>
      <c r="L42" s="47">
        <f t="shared" si="10"/>
        <v>0</v>
      </c>
      <c r="M42" s="47">
        <f t="shared" si="10"/>
        <v>0</v>
      </c>
      <c r="N42" s="47">
        <f t="shared" si="10"/>
        <v>0</v>
      </c>
      <c r="O42" s="47">
        <f t="shared" si="10"/>
        <v>615949.23628700001</v>
      </c>
    </row>
    <row r="43" spans="2:15" s="9" customFormat="1" ht="12" thickBot="1" x14ac:dyDescent="0.25">
      <c r="B43" s="282" t="s">
        <v>75</v>
      </c>
      <c r="C43" s="283"/>
      <c r="D43" s="51">
        <f>D20+D33+D42</f>
        <v>28648635.232512001</v>
      </c>
      <c r="E43" s="51">
        <f>E20+E33+E42</f>
        <v>33623.171679500003</v>
      </c>
      <c r="F43" s="51">
        <f t="shared" ref="F43:H43" si="11">F20+F33+F42</f>
        <v>54399.732793499999</v>
      </c>
      <c r="G43" s="51">
        <f t="shared" si="11"/>
        <v>34495.973300999998</v>
      </c>
      <c r="H43" s="51">
        <f t="shared" si="11"/>
        <v>0</v>
      </c>
      <c r="I43" s="51">
        <f>I20+I33+I42</f>
        <v>28526116.354738001</v>
      </c>
      <c r="J43" s="48">
        <f>J20+J33+J42</f>
        <v>30443779.387255102</v>
      </c>
      <c r="K43" s="48">
        <f t="shared" ref="K43:N43" si="12">K20+K33+K42</f>
        <v>33783.834613999999</v>
      </c>
      <c r="L43" s="48">
        <f t="shared" si="12"/>
        <v>55108.721021999998</v>
      </c>
      <c r="M43" s="48">
        <f t="shared" si="12"/>
        <v>35401.205156000004</v>
      </c>
      <c r="N43" s="48">
        <f t="shared" si="12"/>
        <v>0</v>
      </c>
      <c r="O43" s="48">
        <f>O20+O33+O42</f>
        <v>30319485.626463104</v>
      </c>
    </row>
    <row r="44" spans="2:15" x14ac:dyDescent="0.2">
      <c r="D44" s="184"/>
    </row>
    <row r="45" spans="2:15" x14ac:dyDescent="0.2">
      <c r="D45" s="184"/>
    </row>
    <row r="46" spans="2:15" x14ac:dyDescent="0.2">
      <c r="B46" s="3" t="s">
        <v>22</v>
      </c>
      <c r="C46" s="6" t="s">
        <v>125</v>
      </c>
      <c r="D46" s="184"/>
    </row>
    <row r="47" spans="2:15" x14ac:dyDescent="0.2">
      <c r="C47" s="8" t="s">
        <v>76</v>
      </c>
      <c r="D47" s="184"/>
    </row>
    <row r="48" spans="2:15" x14ac:dyDescent="0.2">
      <c r="D48" s="184"/>
    </row>
    <row r="49" spans="4:4" x14ac:dyDescent="0.2">
      <c r="D49" s="185"/>
    </row>
    <row r="50" spans="4:4" x14ac:dyDescent="0.2">
      <c r="D50" s="185"/>
    </row>
  </sheetData>
  <mergeCells count="11">
    <mergeCell ref="B43:C43"/>
    <mergeCell ref="B4:B6"/>
    <mergeCell ref="C4:C6"/>
    <mergeCell ref="D4:I4"/>
    <mergeCell ref="J4:O4"/>
    <mergeCell ref="D5:D6"/>
    <mergeCell ref="E5:H5"/>
    <mergeCell ref="I5:I6"/>
    <mergeCell ref="J5:J6"/>
    <mergeCell ref="K5:N5"/>
    <mergeCell ref="O5:O6"/>
  </mergeCells>
  <pageMargins left="0.70866141732283472" right="0.70866141732283472" top="0.74803149606299213" bottom="0.74803149606299213" header="0.31496062992125984" footer="0.31496062992125984"/>
  <pageSetup paperSize="5" scale="80" orientation="landscape" r:id="rId1"/>
  <colBreaks count="1" manualBreakCount="1">
    <brk id="15" max="1048575" man="1"/>
  </col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zoomScaleNormal="100" workbookViewId="0">
      <selection activeCell="P66" sqref="P66"/>
    </sheetView>
  </sheetViews>
  <sheetFormatPr defaultRowHeight="15" x14ac:dyDescent="0.25"/>
  <cols>
    <col min="2" max="2" width="4.140625" customWidth="1"/>
    <col min="3" max="3" width="11.140625" customWidth="1"/>
  </cols>
  <sheetData>
    <row r="1" spans="1:3" x14ac:dyDescent="0.25">
      <c r="A1" t="s">
        <v>159</v>
      </c>
      <c r="B1" t="s">
        <v>160</v>
      </c>
    </row>
    <row r="2" spans="1:3" x14ac:dyDescent="0.25">
      <c r="B2" s="114" t="s">
        <v>17</v>
      </c>
      <c r="C2" t="s">
        <v>148</v>
      </c>
    </row>
    <row r="3" spans="1:3" x14ac:dyDescent="0.25">
      <c r="C3" t="s">
        <v>155</v>
      </c>
    </row>
  </sheetData>
  <pageMargins left="0.70866141732283472" right="0.70866141732283472" top="0.74803149606299213" bottom="0.74803149606299213" header="0.31496062992125984" footer="0.31496062992125984"/>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zoomScale="60" zoomScaleNormal="100" workbookViewId="0">
      <selection activeCell="C3" sqref="C3"/>
    </sheetView>
  </sheetViews>
  <sheetFormatPr defaultRowHeight="15" x14ac:dyDescent="0.25"/>
  <cols>
    <col min="2" max="2" width="4.140625" customWidth="1"/>
    <col min="3" max="3" width="11.140625" customWidth="1"/>
  </cols>
  <sheetData>
    <row r="1" spans="1:3" x14ac:dyDescent="0.25">
      <c r="A1" t="s">
        <v>159</v>
      </c>
      <c r="B1" t="s">
        <v>160</v>
      </c>
    </row>
    <row r="2" spans="1:3" x14ac:dyDescent="0.25">
      <c r="B2" s="114" t="s">
        <v>17</v>
      </c>
      <c r="C2" t="s">
        <v>148</v>
      </c>
    </row>
    <row r="3" spans="1:3" x14ac:dyDescent="0.25">
      <c r="C3" t="s">
        <v>155</v>
      </c>
    </row>
  </sheetData>
  <pageMargins left="0.70866141732283472" right="0.70866141732283472" top="0.74803149606299213" bottom="0.74803149606299213" header="0.31496062992125984" footer="0.31496062992125984"/>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defaultRowHeight="15" x14ac:dyDescent="0.25"/>
  <cols>
    <col min="2" max="2" width="4.140625" customWidth="1"/>
    <col min="3" max="3" width="11.140625" customWidth="1"/>
  </cols>
  <sheetData>
    <row r="1" spans="1:3" x14ac:dyDescent="0.25">
      <c r="A1" t="s">
        <v>159</v>
      </c>
      <c r="B1" t="s">
        <v>160</v>
      </c>
    </row>
    <row r="2" spans="1:3" x14ac:dyDescent="0.25">
      <c r="B2" s="114" t="s">
        <v>17</v>
      </c>
      <c r="C2" t="s">
        <v>148</v>
      </c>
    </row>
    <row r="3" spans="1:3" x14ac:dyDescent="0.25">
      <c r="C3"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topLeftCell="A4" zoomScale="104" zoomScaleNormal="104" workbookViewId="0">
      <pane xSplit="2" ySplit="10" topLeftCell="C14" activePane="bottomRight" state="frozen"/>
      <selection activeCell="A4" sqref="A4"/>
      <selection pane="topRight" activeCell="C4" sqref="C4"/>
      <selection pane="bottomLeft" activeCell="A14" sqref="A14"/>
      <selection pane="bottomRight" activeCell="R32" sqref="R32"/>
    </sheetView>
  </sheetViews>
  <sheetFormatPr defaultColWidth="8.7109375" defaultRowHeight="11.25" x14ac:dyDescent="0.2"/>
  <cols>
    <col min="1" max="1" width="2.85546875" style="22" bestFit="1" customWidth="1"/>
    <col min="2" max="2" width="32" style="6" customWidth="1"/>
    <col min="3" max="3" width="19" style="6" customWidth="1"/>
    <col min="4" max="4" width="8.7109375" style="6" bestFit="1" customWidth="1"/>
    <col min="5" max="5" width="13.140625" style="6" customWidth="1"/>
    <col min="6" max="6" width="11.7109375" style="6" customWidth="1"/>
    <col min="7" max="7" width="14.7109375" style="6" customWidth="1"/>
    <col min="8" max="8" width="13.140625" style="6" hidden="1" customWidth="1"/>
    <col min="9" max="9" width="11.42578125" style="6" hidden="1" customWidth="1"/>
    <col min="10" max="10" width="11.7109375" style="6" hidden="1" customWidth="1"/>
    <col min="11" max="11" width="12" style="6" customWidth="1"/>
    <col min="12" max="12" width="11.85546875" style="6" customWidth="1"/>
    <col min="13" max="13" width="12.140625" style="6" customWidth="1"/>
    <col min="14" max="14" width="11.85546875" style="6" customWidth="1"/>
    <col min="15" max="15" width="11.85546875" style="6" bestFit="1" customWidth="1"/>
    <col min="16" max="16" width="9.5703125" style="6" bestFit="1" customWidth="1"/>
    <col min="17" max="17" width="10.5703125" style="6" bestFit="1" customWidth="1"/>
    <col min="18" max="18" width="8.7109375" style="6"/>
    <col min="19" max="19" width="9.5703125" style="6" bestFit="1" customWidth="1"/>
    <col min="20" max="20" width="8.7109375" style="6"/>
    <col min="21" max="21" width="12" style="6" bestFit="1" customWidth="1"/>
    <col min="22" max="16384" width="8.7109375" style="6"/>
  </cols>
  <sheetData>
    <row r="1" spans="1:19" x14ac:dyDescent="0.2">
      <c r="A1" s="100" t="s">
        <v>234</v>
      </c>
    </row>
    <row r="2" spans="1:19" x14ac:dyDescent="0.2">
      <c r="A2" s="100"/>
      <c r="B2" s="6" t="s">
        <v>235</v>
      </c>
    </row>
    <row r="3" spans="1:19" x14ac:dyDescent="0.2">
      <c r="A3" s="100"/>
    </row>
    <row r="4" spans="1:19" x14ac:dyDescent="0.2">
      <c r="A4" s="167"/>
      <c r="B4" s="16"/>
      <c r="C4" s="16"/>
      <c r="D4" s="260" t="s">
        <v>243</v>
      </c>
      <c r="E4" s="261"/>
      <c r="F4" s="261"/>
      <c r="G4" s="261"/>
      <c r="H4" s="261"/>
      <c r="I4" s="261"/>
      <c r="J4" s="261"/>
      <c r="K4" s="261"/>
      <c r="L4" s="261"/>
      <c r="M4" s="261"/>
      <c r="N4" s="261"/>
      <c r="O4" s="261"/>
      <c r="P4" s="261"/>
    </row>
    <row r="5" spans="1:19" x14ac:dyDescent="0.2">
      <c r="A5" s="265"/>
      <c r="B5" s="262" t="s">
        <v>19</v>
      </c>
      <c r="C5" s="16"/>
      <c r="D5" s="271" t="s">
        <v>59</v>
      </c>
      <c r="E5" s="272"/>
      <c r="F5" s="272"/>
      <c r="G5" s="272"/>
      <c r="H5" s="272"/>
      <c r="I5" s="272"/>
      <c r="J5" s="272"/>
      <c r="K5" s="272"/>
      <c r="L5" s="272"/>
      <c r="M5" s="272"/>
      <c r="N5" s="272"/>
      <c r="O5" s="272"/>
      <c r="P5" s="273"/>
    </row>
    <row r="6" spans="1:19" x14ac:dyDescent="0.2">
      <c r="A6" s="266"/>
      <c r="B6" s="263"/>
      <c r="C6" s="16" t="s">
        <v>164</v>
      </c>
      <c r="D6" s="261" t="s">
        <v>233</v>
      </c>
      <c r="E6" s="261"/>
      <c r="F6" s="261"/>
      <c r="G6" s="261"/>
      <c r="H6" s="261"/>
      <c r="I6" s="261"/>
      <c r="J6" s="261"/>
      <c r="K6" s="261" t="s">
        <v>232</v>
      </c>
      <c r="L6" s="261"/>
      <c r="M6" s="261"/>
      <c r="N6" s="261"/>
      <c r="O6" s="268" t="s">
        <v>230</v>
      </c>
      <c r="P6" s="262" t="s">
        <v>231</v>
      </c>
    </row>
    <row r="7" spans="1:19"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9"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9"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9"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9"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9" x14ac:dyDescent="0.2">
      <c r="A12" s="267"/>
      <c r="B12" s="264"/>
      <c r="C12" s="16" t="s">
        <v>244</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9"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25">
      <c r="A14" s="186">
        <v>1</v>
      </c>
      <c r="B14" s="198" t="s">
        <v>0</v>
      </c>
      <c r="C14" s="199"/>
      <c r="D14" s="199">
        <v>24432.108052</v>
      </c>
      <c r="E14" s="199"/>
      <c r="F14" s="199"/>
      <c r="G14" s="199"/>
      <c r="H14" s="199"/>
      <c r="I14" s="199"/>
      <c r="J14" s="199"/>
      <c r="K14" s="199"/>
      <c r="L14" s="199"/>
      <c r="M14" s="199"/>
      <c r="N14" s="199"/>
      <c r="O14" s="199">
        <f>59420.780543+1403115.481805+3175619.801613+250000+32.6115886+478576.9</f>
        <v>5366765.5755496006</v>
      </c>
      <c r="P14" s="200">
        <f>SUM(D14:O14)</f>
        <v>5391197.683601601</v>
      </c>
      <c r="Q14" s="187">
        <f>P14-O14</f>
        <v>24432.108052000403</v>
      </c>
    </row>
    <row r="15" spans="1:19" s="188" customFormat="1" x14ac:dyDescent="0.25">
      <c r="A15" s="186">
        <v>2</v>
      </c>
      <c r="B15" s="198" t="s">
        <v>1</v>
      </c>
      <c r="C15" s="199"/>
      <c r="D15" s="199">
        <v>43992.41</v>
      </c>
      <c r="E15" s="199"/>
      <c r="F15" s="199">
        <v>19735.2</v>
      </c>
      <c r="G15" s="199"/>
      <c r="H15" s="199"/>
      <c r="I15" s="199"/>
      <c r="J15" s="199"/>
      <c r="K15" s="199"/>
      <c r="L15" s="199"/>
      <c r="M15" s="199"/>
      <c r="N15" s="199"/>
      <c r="O15" s="199">
        <f>1178.324932+4740.2160275</f>
        <v>5918.5409595000001</v>
      </c>
      <c r="P15" s="200">
        <f t="shared" ref="P15:P24" si="0">SUM(D15:O15)</f>
        <v>69646.150959499995</v>
      </c>
      <c r="Q15" s="187"/>
    </row>
    <row r="16" spans="1:19" s="120" customFormat="1" ht="23.25" thickBot="1" x14ac:dyDescent="0.3">
      <c r="A16" s="121">
        <v>3</v>
      </c>
      <c r="B16" s="201" t="s">
        <v>2</v>
      </c>
      <c r="C16" s="199"/>
      <c r="D16" s="199"/>
      <c r="E16" s="199"/>
      <c r="F16" s="199"/>
      <c r="G16" s="199"/>
      <c r="H16" s="199"/>
      <c r="I16" s="199"/>
      <c r="J16" s="199"/>
      <c r="K16" s="199"/>
      <c r="L16" s="199"/>
      <c r="M16" s="199"/>
      <c r="N16" s="199"/>
      <c r="O16" s="202">
        <v>463.74705499999999</v>
      </c>
      <c r="P16" s="200">
        <f t="shared" si="0"/>
        <v>463.74705499999999</v>
      </c>
      <c r="Q16" s="197"/>
      <c r="S16" s="183"/>
    </row>
    <row r="17" spans="1:24" s="188" customFormat="1" ht="12" thickBot="1" x14ac:dyDescent="0.3">
      <c r="A17" s="186">
        <v>4</v>
      </c>
      <c r="B17" s="198" t="s">
        <v>3</v>
      </c>
      <c r="C17" s="199"/>
      <c r="D17" s="199">
        <f>49836.5+34237.104074+1995096.346284</f>
        <v>2079169.9503579999</v>
      </c>
      <c r="E17" s="199">
        <f>108449.976002+6.829877+858507.320261</f>
        <v>966964.12613999995</v>
      </c>
      <c r="F17" s="203">
        <f>91836.5+13715.513406</f>
        <v>105552.013406</v>
      </c>
      <c r="G17" s="199"/>
      <c r="H17" s="199"/>
      <c r="I17" s="199"/>
      <c r="J17" s="199"/>
      <c r="K17" s="199"/>
      <c r="L17" s="199"/>
      <c r="M17" s="199"/>
      <c r="N17" s="199"/>
      <c r="O17" s="199">
        <f>58435.078011+14.594819+721.378741+50161.4136189999+140000+89.3575168+37666.798882</f>
        <v>287088.62158879987</v>
      </c>
      <c r="P17" s="204">
        <f>SUM(D17:O17)</f>
        <v>3438774.7114928002</v>
      </c>
      <c r="Q17" s="192">
        <f>3438685.353976</f>
        <v>3438685.3539760001</v>
      </c>
      <c r="R17" s="193">
        <v>89.357516799999999</v>
      </c>
      <c r="S17" s="190">
        <f>Q17+R17</f>
        <v>3438774.7114928002</v>
      </c>
      <c r="T17" s="189">
        <f>P17-S17</f>
        <v>0</v>
      </c>
    </row>
    <row r="18" spans="1:24" s="120" customFormat="1" x14ac:dyDescent="0.25">
      <c r="A18" s="121">
        <v>5</v>
      </c>
      <c r="B18" s="198" t="s">
        <v>4</v>
      </c>
      <c r="C18" s="199"/>
      <c r="D18" s="199"/>
      <c r="E18" s="199"/>
      <c r="F18" s="199"/>
      <c r="G18" s="199"/>
      <c r="H18" s="199"/>
      <c r="I18" s="199"/>
      <c r="J18" s="199"/>
      <c r="K18" s="199"/>
      <c r="L18" s="199"/>
      <c r="M18" s="199"/>
      <c r="N18" s="199"/>
      <c r="O18" s="199">
        <f>371291.104664+28.4766975</f>
        <v>371319.58136149996</v>
      </c>
      <c r="P18" s="200">
        <f t="shared" si="0"/>
        <v>371319.58136149996</v>
      </c>
      <c r="Q18" s="132"/>
      <c r="S18" s="183"/>
    </row>
    <row r="19" spans="1:24" s="120" customFormat="1" x14ac:dyDescent="0.25">
      <c r="A19" s="121">
        <v>6</v>
      </c>
      <c r="B19" s="198" t="s">
        <v>5</v>
      </c>
      <c r="C19" s="199"/>
      <c r="D19" s="199"/>
      <c r="E19" s="199"/>
      <c r="F19" s="199"/>
      <c r="G19" s="199"/>
      <c r="H19" s="199"/>
      <c r="I19" s="199"/>
      <c r="J19" s="199"/>
      <c r="K19" s="199"/>
      <c r="L19" s="199"/>
      <c r="M19" s="199"/>
      <c r="N19" s="199"/>
      <c r="O19" s="202">
        <f>106468.491033+1428.027581</f>
        <v>107896.518614</v>
      </c>
      <c r="P19" s="200">
        <f t="shared" si="0"/>
        <v>107896.518614</v>
      </c>
      <c r="Q19" s="132"/>
    </row>
    <row r="20" spans="1:24" s="120" customFormat="1" x14ac:dyDescent="0.25">
      <c r="A20" s="121">
        <v>7</v>
      </c>
      <c r="B20" s="198" t="s">
        <v>6</v>
      </c>
      <c r="C20" s="199"/>
      <c r="D20" s="199"/>
      <c r="E20" s="199"/>
      <c r="F20" s="199"/>
      <c r="G20" s="199"/>
      <c r="H20" s="199"/>
      <c r="I20" s="199"/>
      <c r="J20" s="199"/>
      <c r="K20" s="199"/>
      <c r="L20" s="199"/>
      <c r="M20" s="199"/>
      <c r="N20" s="199"/>
      <c r="O20" s="199">
        <f>10707318.12713+1.316815</f>
        <v>10707319.443945</v>
      </c>
      <c r="P20" s="200">
        <f t="shared" si="0"/>
        <v>10707319.443945</v>
      </c>
      <c r="Q20" s="132"/>
    </row>
    <row r="21" spans="1:24" s="120" customFormat="1" ht="22.5" x14ac:dyDescent="0.2">
      <c r="A21" s="121">
        <v>8</v>
      </c>
      <c r="B21" s="201" t="s">
        <v>7</v>
      </c>
      <c r="C21" s="199"/>
      <c r="D21" s="199"/>
      <c r="E21" s="199"/>
      <c r="F21" s="199"/>
      <c r="G21" s="199"/>
      <c r="H21" s="199"/>
      <c r="I21" s="199"/>
      <c r="J21" s="199"/>
      <c r="K21" s="199"/>
      <c r="L21" s="199"/>
      <c r="M21" s="199"/>
      <c r="N21" s="199"/>
      <c r="O21" s="199">
        <f>1047830.090904+68655.0388</f>
        <v>1116485.129704</v>
      </c>
      <c r="P21" s="200">
        <f t="shared" si="0"/>
        <v>1116485.129704</v>
      </c>
      <c r="Q21" s="195">
        <v>2440957.3106629997</v>
      </c>
      <c r="R21" s="120">
        <f>1743727.981053+520401.047710209</f>
        <v>2264129.028763209</v>
      </c>
      <c r="S21" s="196"/>
    </row>
    <row r="22" spans="1:24" s="188" customFormat="1" x14ac:dyDescent="0.2">
      <c r="A22" s="186">
        <v>9</v>
      </c>
      <c r="B22" s="198" t="s">
        <v>8</v>
      </c>
      <c r="C22" s="199"/>
      <c r="D22" s="202">
        <v>20000</v>
      </c>
      <c r="E22" s="199"/>
      <c r="F22" s="199">
        <v>50000</v>
      </c>
      <c r="G22" s="199"/>
      <c r="H22" s="199"/>
      <c r="I22" s="199"/>
      <c r="J22" s="199"/>
      <c r="K22" s="199"/>
      <c r="L22" s="199"/>
      <c r="M22" s="199"/>
      <c r="N22" s="199"/>
      <c r="O22" s="199">
        <f>680307.473723+1740649.83694+520401.047710209</f>
        <v>2941358.3583732094</v>
      </c>
      <c r="P22" s="200">
        <f t="shared" si="0"/>
        <v>3011358.3583732094</v>
      </c>
      <c r="Q22" s="194">
        <v>2490957.3106629997</v>
      </c>
      <c r="R22" s="192">
        <v>520401.0477102088</v>
      </c>
      <c r="S22" s="193">
        <f>SUM(Q22:R22)</f>
        <v>3011358.3583732084</v>
      </c>
      <c r="T22" s="189">
        <f>P22-S22</f>
        <v>0</v>
      </c>
    </row>
    <row r="23" spans="1:24" s="120" customFormat="1" x14ac:dyDescent="0.2">
      <c r="A23" s="121">
        <v>10</v>
      </c>
      <c r="B23" s="131" t="s">
        <v>9</v>
      </c>
      <c r="C23" s="124"/>
      <c r="D23" s="124"/>
      <c r="E23" s="124"/>
      <c r="F23" s="124"/>
      <c r="G23" s="124"/>
      <c r="H23" s="124"/>
      <c r="I23" s="124"/>
      <c r="J23" s="124"/>
      <c r="K23" s="124"/>
      <c r="L23" s="124"/>
      <c r="M23" s="124"/>
      <c r="N23" s="124"/>
      <c r="O23" s="124">
        <f>308025.473201+9034.4078355</f>
        <v>317059.88103650004</v>
      </c>
      <c r="P23" s="191">
        <f t="shared" si="0"/>
        <v>317059.88103650004</v>
      </c>
      <c r="Q23" s="65"/>
      <c r="T23" s="133">
        <f>T17+T22</f>
        <v>0</v>
      </c>
    </row>
    <row r="24" spans="1:24" s="120" customFormat="1" x14ac:dyDescent="0.2">
      <c r="A24" s="121">
        <v>11</v>
      </c>
      <c r="B24" s="131" t="s">
        <v>10</v>
      </c>
      <c r="C24" s="124"/>
      <c r="D24" s="124"/>
      <c r="E24" s="124"/>
      <c r="F24" s="124"/>
      <c r="G24" s="124"/>
      <c r="H24" s="124"/>
      <c r="I24" s="124"/>
      <c r="J24" s="124"/>
      <c r="K24" s="124"/>
      <c r="L24" s="124"/>
      <c r="M24" s="124"/>
      <c r="N24" s="124"/>
      <c r="O24" s="124">
        <v>2273809.9476290001</v>
      </c>
      <c r="P24" s="191">
        <f t="shared" si="0"/>
        <v>2273809.9476290001</v>
      </c>
      <c r="Q24" s="65"/>
    </row>
    <row r="25" spans="1:24" s="123" customFormat="1" x14ac:dyDescent="0.2">
      <c r="A25" s="10"/>
      <c r="B25" s="10" t="s">
        <v>97</v>
      </c>
      <c r="C25" s="125"/>
      <c r="D25" s="125">
        <f>SUM(D14:D24)</f>
        <v>2167594.4684099997</v>
      </c>
      <c r="E25" s="125">
        <f t="shared" ref="E25:N25" si="1">SUM(E14:E24)</f>
        <v>966964.12613999995</v>
      </c>
      <c r="F25" s="125">
        <f>SUM(F14:F24)</f>
        <v>175287.213406</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23495485.345816109</v>
      </c>
      <c r="P25" s="26">
        <f>SUM(D25:O25)</f>
        <v>26805331.153772108</v>
      </c>
      <c r="Q25" s="119"/>
      <c r="R25" s="126"/>
    </row>
    <row r="26" spans="1:24" x14ac:dyDescent="0.2">
      <c r="D26" s="6">
        <v>89998.399999999994</v>
      </c>
      <c r="E26" s="6">
        <v>80000</v>
      </c>
      <c r="F26" s="6">
        <v>79254.338269</v>
      </c>
      <c r="P26" s="184"/>
      <c r="Q26" s="185">
        <f>P25-P26</f>
        <v>26805331.153772108</v>
      </c>
      <c r="U26" s="184"/>
      <c r="V26" s="184"/>
    </row>
    <row r="27" spans="1:24" x14ac:dyDescent="0.2">
      <c r="U27" s="205"/>
      <c r="V27" s="205"/>
    </row>
    <row r="28" spans="1:24" x14ac:dyDescent="0.2">
      <c r="A28" s="167"/>
      <c r="B28" s="16"/>
      <c r="C28" s="16"/>
      <c r="D28" s="260" t="s">
        <v>58</v>
      </c>
      <c r="E28" s="261"/>
      <c r="F28" s="261"/>
      <c r="G28" s="261"/>
      <c r="H28" s="261"/>
      <c r="I28" s="261"/>
      <c r="J28" s="261"/>
      <c r="K28" s="261"/>
      <c r="L28" s="261"/>
      <c r="M28" s="261"/>
      <c r="N28" s="261"/>
      <c r="O28" s="261"/>
      <c r="P28" s="261"/>
      <c r="U28" s="184">
        <v>9034.4078355000001</v>
      </c>
    </row>
    <row r="29" spans="1:24" x14ac:dyDescent="0.2">
      <c r="A29" s="265"/>
      <c r="B29" s="262" t="s">
        <v>19</v>
      </c>
      <c r="C29" s="16"/>
      <c r="D29" s="261" t="s">
        <v>59</v>
      </c>
      <c r="E29" s="261"/>
      <c r="F29" s="261"/>
      <c r="G29" s="261"/>
      <c r="H29" s="261"/>
      <c r="I29" s="261"/>
      <c r="J29" s="261"/>
      <c r="K29" s="261"/>
      <c r="L29" s="261"/>
      <c r="M29" s="261"/>
      <c r="N29" s="261"/>
      <c r="O29" s="261"/>
      <c r="P29" s="261"/>
      <c r="U29" s="209"/>
      <c r="X29" s="184">
        <v>32.611588599999997</v>
      </c>
    </row>
    <row r="30" spans="1:24" x14ac:dyDescent="0.2">
      <c r="A30" s="266"/>
      <c r="B30" s="263"/>
      <c r="C30" s="16" t="s">
        <v>164</v>
      </c>
      <c r="D30" s="261" t="s">
        <v>233</v>
      </c>
      <c r="E30" s="261"/>
      <c r="F30" s="261"/>
      <c r="G30" s="261"/>
      <c r="H30" s="261"/>
      <c r="I30" s="261"/>
      <c r="J30" s="261"/>
      <c r="K30" s="261" t="s">
        <v>232</v>
      </c>
      <c r="L30" s="261"/>
      <c r="M30" s="261"/>
      <c r="N30" s="261"/>
      <c r="O30" s="268" t="s">
        <v>230</v>
      </c>
      <c r="P30" s="262" t="s">
        <v>231</v>
      </c>
    </row>
    <row r="31" spans="1:24" x14ac:dyDescent="0.2">
      <c r="A31" s="266"/>
      <c r="B31" s="263"/>
      <c r="C31" s="16" t="s">
        <v>167</v>
      </c>
      <c r="D31" s="16" t="s">
        <v>166</v>
      </c>
      <c r="E31" s="16" t="s">
        <v>168</v>
      </c>
      <c r="F31" s="16" t="s">
        <v>169</v>
      </c>
      <c r="G31" s="16" t="s">
        <v>170</v>
      </c>
      <c r="H31" s="16" t="s">
        <v>171</v>
      </c>
      <c r="I31" s="16" t="s">
        <v>172</v>
      </c>
      <c r="J31" s="16" t="s">
        <v>173</v>
      </c>
      <c r="K31" s="16" t="s">
        <v>174</v>
      </c>
      <c r="L31" s="16" t="s">
        <v>175</v>
      </c>
      <c r="M31" s="16" t="s">
        <v>176</v>
      </c>
      <c r="N31" s="16" t="s">
        <v>177</v>
      </c>
      <c r="O31" s="269"/>
      <c r="P31" s="263"/>
    </row>
    <row r="32" spans="1:24" x14ac:dyDescent="0.2">
      <c r="A32" s="266"/>
      <c r="B32" s="263"/>
      <c r="C32" s="16" t="s">
        <v>165</v>
      </c>
      <c r="D32" s="16" t="s">
        <v>166</v>
      </c>
      <c r="E32" s="16" t="s">
        <v>168</v>
      </c>
      <c r="F32" s="16" t="s">
        <v>169</v>
      </c>
      <c r="G32" s="16" t="s">
        <v>170</v>
      </c>
      <c r="H32" s="16" t="s">
        <v>171</v>
      </c>
      <c r="I32" s="16" t="s">
        <v>172</v>
      </c>
      <c r="J32" s="16" t="s">
        <v>173</v>
      </c>
      <c r="K32" s="16" t="s">
        <v>178</v>
      </c>
      <c r="L32" s="16" t="s">
        <v>179</v>
      </c>
      <c r="M32" s="16" t="s">
        <v>180</v>
      </c>
      <c r="N32" s="16" t="s">
        <v>181</v>
      </c>
      <c r="O32" s="269"/>
      <c r="P32" s="263"/>
    </row>
    <row r="33" spans="1:17" x14ac:dyDescent="0.2">
      <c r="A33" s="266"/>
      <c r="B33" s="263"/>
      <c r="C33" s="16" t="s">
        <v>182</v>
      </c>
      <c r="D33" s="16" t="s">
        <v>183</v>
      </c>
      <c r="E33" s="16" t="s">
        <v>184</v>
      </c>
      <c r="F33" s="16" t="s">
        <v>185</v>
      </c>
      <c r="G33" s="16" t="s">
        <v>186</v>
      </c>
      <c r="H33" s="16" t="s">
        <v>187</v>
      </c>
      <c r="I33" s="16" t="s">
        <v>188</v>
      </c>
      <c r="J33" s="16" t="s">
        <v>189</v>
      </c>
      <c r="K33" s="16" t="s">
        <v>190</v>
      </c>
      <c r="L33" s="16" t="s">
        <v>191</v>
      </c>
      <c r="M33" s="16" t="s">
        <v>192</v>
      </c>
      <c r="N33" s="16" t="s">
        <v>193</v>
      </c>
      <c r="O33" s="269"/>
      <c r="P33" s="263"/>
    </row>
    <row r="34" spans="1:17" x14ac:dyDescent="0.2">
      <c r="A34" s="266"/>
      <c r="B34" s="263"/>
      <c r="C34" s="16" t="s">
        <v>194</v>
      </c>
      <c r="D34" s="16" t="s">
        <v>195</v>
      </c>
      <c r="E34" s="16" t="s">
        <v>196</v>
      </c>
      <c r="F34" s="16" t="s">
        <v>197</v>
      </c>
      <c r="G34" s="16" t="s">
        <v>198</v>
      </c>
      <c r="H34" s="16" t="s">
        <v>199</v>
      </c>
      <c r="I34" s="16" t="s">
        <v>200</v>
      </c>
      <c r="J34" s="16" t="s">
        <v>201</v>
      </c>
      <c r="K34" s="16" t="s">
        <v>202</v>
      </c>
      <c r="L34" s="16" t="s">
        <v>203</v>
      </c>
      <c r="M34" s="16" t="s">
        <v>204</v>
      </c>
      <c r="N34" s="16" t="s">
        <v>205</v>
      </c>
      <c r="O34" s="269"/>
      <c r="P34" s="263"/>
    </row>
    <row r="35" spans="1:17" x14ac:dyDescent="0.2">
      <c r="A35" s="266"/>
      <c r="B35" s="263"/>
      <c r="C35" s="16" t="s">
        <v>206</v>
      </c>
      <c r="D35" s="16" t="s">
        <v>207</v>
      </c>
      <c r="E35" s="16" t="s">
        <v>208</v>
      </c>
      <c r="F35" s="16" t="s">
        <v>209</v>
      </c>
      <c r="G35" s="16" t="s">
        <v>210</v>
      </c>
      <c r="H35" s="16" t="s">
        <v>211</v>
      </c>
      <c r="I35" s="16" t="s">
        <v>212</v>
      </c>
      <c r="J35" s="16" t="s">
        <v>213</v>
      </c>
      <c r="K35" s="16" t="s">
        <v>214</v>
      </c>
      <c r="L35" s="16" t="s">
        <v>215</v>
      </c>
      <c r="M35" s="16" t="s">
        <v>216</v>
      </c>
      <c r="N35" s="16" t="s">
        <v>217</v>
      </c>
      <c r="O35" s="269"/>
      <c r="P35" s="263"/>
    </row>
    <row r="36" spans="1:17" x14ac:dyDescent="0.2">
      <c r="A36" s="267"/>
      <c r="B36" s="264"/>
      <c r="C36" s="16" t="s">
        <v>218</v>
      </c>
      <c r="D36" s="16" t="s">
        <v>219</v>
      </c>
      <c r="E36" s="16" t="s">
        <v>220</v>
      </c>
      <c r="F36" s="16" t="s">
        <v>221</v>
      </c>
      <c r="G36" s="16" t="s">
        <v>222</v>
      </c>
      <c r="H36" s="16" t="s">
        <v>223</v>
      </c>
      <c r="I36" s="16" t="s">
        <v>224</v>
      </c>
      <c r="J36" s="16" t="s">
        <v>225</v>
      </c>
      <c r="K36" s="16" t="s">
        <v>226</v>
      </c>
      <c r="L36" s="16" t="s">
        <v>227</v>
      </c>
      <c r="M36" s="16" t="s">
        <v>228</v>
      </c>
      <c r="N36" s="16" t="s">
        <v>229</v>
      </c>
      <c r="O36" s="270"/>
      <c r="P36" s="264"/>
    </row>
    <row r="37" spans="1:17" x14ac:dyDescent="0.2">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
      <c r="A38" s="167">
        <v>1</v>
      </c>
      <c r="B38" s="17" t="s">
        <v>0</v>
      </c>
      <c r="C38" s="24"/>
      <c r="D38" s="24">
        <v>14767.716585</v>
      </c>
      <c r="E38" s="24"/>
      <c r="F38" s="24"/>
      <c r="G38" s="24"/>
      <c r="H38" s="24"/>
      <c r="I38" s="24"/>
      <c r="J38" s="24"/>
      <c r="K38" s="24"/>
      <c r="L38" s="24"/>
      <c r="M38" s="24"/>
      <c r="N38" s="24"/>
      <c r="O38" s="24">
        <f>290969.1+1081498.61003+3029447.701321</f>
        <v>4401915.411351</v>
      </c>
      <c r="P38" s="135">
        <f t="shared" ref="P38:P49" si="2">SUM(D38:O38)</f>
        <v>4416683.127936</v>
      </c>
    </row>
    <row r="39" spans="1:17" x14ac:dyDescent="0.2">
      <c r="A39" s="167">
        <v>2</v>
      </c>
      <c r="B39" s="17" t="s">
        <v>1</v>
      </c>
      <c r="C39" s="24"/>
      <c r="D39" s="24">
        <v>80965.2</v>
      </c>
      <c r="E39" s="24"/>
      <c r="F39" s="24">
        <v>19953.7</v>
      </c>
      <c r="G39" s="24"/>
      <c r="H39" s="24"/>
      <c r="I39" s="24"/>
      <c r="J39" s="24"/>
      <c r="K39" s="24"/>
      <c r="L39" s="24"/>
      <c r="M39" s="24"/>
      <c r="N39" s="24"/>
      <c r="O39" s="24">
        <f>13751.937261+135894.926205</f>
        <v>149646.86346600001</v>
      </c>
      <c r="P39" s="135">
        <f t="shared" si="2"/>
        <v>250565.763466</v>
      </c>
    </row>
    <row r="40" spans="1:17" ht="22.5" x14ac:dyDescent="0.2">
      <c r="A40" s="121">
        <v>3</v>
      </c>
      <c r="B40" s="122" t="s">
        <v>2</v>
      </c>
      <c r="C40" s="124"/>
      <c r="D40" s="124"/>
      <c r="E40" s="124"/>
      <c r="F40" s="124"/>
      <c r="G40" s="124"/>
      <c r="H40" s="124"/>
      <c r="I40" s="124"/>
      <c r="J40" s="124"/>
      <c r="K40" s="124"/>
      <c r="L40" s="124"/>
      <c r="M40" s="124"/>
      <c r="N40" s="124"/>
      <c r="O40" s="124">
        <v>175.88904600000001</v>
      </c>
      <c r="P40" s="135">
        <f t="shared" si="2"/>
        <v>175.88904600000001</v>
      </c>
    </row>
    <row r="41" spans="1:17" x14ac:dyDescent="0.2">
      <c r="A41" s="167">
        <v>4</v>
      </c>
      <c r="B41" s="17" t="s">
        <v>3</v>
      </c>
      <c r="C41" s="24"/>
      <c r="D41" s="24">
        <f>31347.165949+430188.161391+20000+64617.341732</f>
        <v>546152.66907199996</v>
      </c>
      <c r="E41" s="24">
        <f>7.427877+80000+4965.928215+24575.95361</f>
        <v>109549.309702</v>
      </c>
      <c r="F41" s="24">
        <f>24272.363505+1368.466072+100000+250000+50000+30000+19995.1+39198.538269+20060.7</f>
        <v>534895.16784599994</v>
      </c>
      <c r="G41" s="24"/>
      <c r="H41" s="24"/>
      <c r="I41" s="24"/>
      <c r="J41" s="24"/>
      <c r="K41" s="24"/>
      <c r="L41" s="24"/>
      <c r="M41" s="24"/>
      <c r="N41" s="24"/>
      <c r="O41" s="24">
        <f>443.872747+4166.1134934+100015.100071+4012.681906+150161.901569</f>
        <v>258799.66978639999</v>
      </c>
      <c r="P41" s="135">
        <f t="shared" si="2"/>
        <v>1449396.8164063997</v>
      </c>
      <c r="Q41" s="119">
        <f>P41-P17</f>
        <v>-1989377.8950864004</v>
      </c>
    </row>
    <row r="42" spans="1:17" x14ac:dyDescent="0.2">
      <c r="A42" s="167">
        <v>5</v>
      </c>
      <c r="B42" s="17" t="s">
        <v>4</v>
      </c>
      <c r="C42" s="24"/>
      <c r="D42" s="24"/>
      <c r="E42" s="24"/>
      <c r="F42" s="24"/>
      <c r="G42" s="24"/>
      <c r="H42" s="24"/>
      <c r="I42" s="24"/>
      <c r="J42" s="24"/>
      <c r="K42" s="24"/>
      <c r="L42" s="24"/>
      <c r="M42" s="24"/>
      <c r="N42" s="24"/>
      <c r="O42" s="24">
        <f>241209.872431+28.866494</f>
        <v>241238.73892499998</v>
      </c>
      <c r="P42" s="135">
        <f t="shared" si="2"/>
        <v>241238.73892499998</v>
      </c>
    </row>
    <row r="43" spans="1:17" x14ac:dyDescent="0.2">
      <c r="A43" s="167">
        <v>6</v>
      </c>
      <c r="B43" s="17" t="s">
        <v>5</v>
      </c>
      <c r="C43" s="24"/>
      <c r="D43" s="24"/>
      <c r="E43" s="24"/>
      <c r="F43" s="24"/>
      <c r="G43" s="24"/>
      <c r="H43" s="24"/>
      <c r="I43" s="24"/>
      <c r="J43" s="24"/>
      <c r="K43" s="24"/>
      <c r="L43" s="24"/>
      <c r="M43" s="24"/>
      <c r="N43" s="24"/>
      <c r="O43" s="24">
        <v>62471.178787999997</v>
      </c>
      <c r="P43" s="135">
        <f t="shared" si="2"/>
        <v>62471.178787999997</v>
      </c>
    </row>
    <row r="44" spans="1:17" x14ac:dyDescent="0.2">
      <c r="A44" s="167">
        <v>7</v>
      </c>
      <c r="B44" s="17" t="s">
        <v>6</v>
      </c>
      <c r="C44" s="24"/>
      <c r="D44" s="24"/>
      <c r="E44" s="24"/>
      <c r="F44" s="24"/>
      <c r="G44" s="24"/>
      <c r="H44" s="24"/>
      <c r="I44" s="24"/>
      <c r="J44" s="24"/>
      <c r="K44" s="24"/>
      <c r="L44" s="24"/>
      <c r="M44" s="24"/>
      <c r="N44" s="24"/>
      <c r="O44" s="24">
        <f>10123841.65105+1.566815</f>
        <v>10123843.217865</v>
      </c>
      <c r="P44" s="135">
        <f t="shared" si="2"/>
        <v>10123843.217865</v>
      </c>
    </row>
    <row r="45" spans="1:17" ht="22.5" x14ac:dyDescent="0.2">
      <c r="A45" s="121">
        <v>8</v>
      </c>
      <c r="B45" s="122" t="s">
        <v>7</v>
      </c>
      <c r="C45" s="124"/>
      <c r="D45" s="124"/>
      <c r="E45" s="124"/>
      <c r="F45" s="124"/>
      <c r="G45" s="124"/>
      <c r="H45" s="124"/>
      <c r="I45" s="124"/>
      <c r="J45" s="124"/>
      <c r="K45" s="124"/>
      <c r="L45" s="124"/>
      <c r="M45" s="124"/>
      <c r="N45" s="124"/>
      <c r="O45" s="124">
        <f>1020447.584684+102132.1931512</f>
        <v>1122579.7778352001</v>
      </c>
      <c r="P45" s="136">
        <f t="shared" si="2"/>
        <v>1122579.7778352001</v>
      </c>
    </row>
    <row r="46" spans="1:17" x14ac:dyDescent="0.2">
      <c r="A46" s="167">
        <v>9</v>
      </c>
      <c r="B46" s="17" t="s">
        <v>8</v>
      </c>
      <c r="C46" s="24"/>
      <c r="D46" s="24">
        <v>89998.399999999994</v>
      </c>
      <c r="E46" s="24"/>
      <c r="F46" s="24">
        <v>50000</v>
      </c>
      <c r="G46" s="24"/>
      <c r="H46" s="24"/>
      <c r="I46" s="24"/>
      <c r="J46" s="24"/>
      <c r="K46" s="24"/>
      <c r="L46" s="24"/>
      <c r="M46" s="24"/>
      <c r="N46" s="24"/>
      <c r="O46" s="24">
        <f>1657204.369141+304726.8521059+18996</f>
        <v>1980927.2212469</v>
      </c>
      <c r="P46" s="135">
        <f t="shared" si="2"/>
        <v>2120925.6212468999</v>
      </c>
    </row>
    <row r="47" spans="1:17" x14ac:dyDescent="0.2">
      <c r="A47" s="167">
        <v>10</v>
      </c>
      <c r="B47" s="17" t="s">
        <v>9</v>
      </c>
      <c r="C47" s="24"/>
      <c r="D47" s="24"/>
      <c r="E47" s="24"/>
      <c r="F47" s="24"/>
      <c r="G47" s="24"/>
      <c r="H47" s="24"/>
      <c r="I47" s="24"/>
      <c r="J47" s="24"/>
      <c r="K47" s="24"/>
      <c r="L47" s="24"/>
      <c r="M47" s="24"/>
      <c r="N47" s="24"/>
      <c r="O47" s="24">
        <f>286787.563571+6166.365911</f>
        <v>292953.92948200001</v>
      </c>
      <c r="P47" s="135">
        <f t="shared" si="2"/>
        <v>292953.92948200001</v>
      </c>
    </row>
    <row r="48" spans="1:17" x14ac:dyDescent="0.2">
      <c r="A48" s="167">
        <v>11</v>
      </c>
      <c r="B48" s="17" t="s">
        <v>10</v>
      </c>
      <c r="C48" s="24"/>
      <c r="D48" s="24"/>
      <c r="E48" s="24"/>
      <c r="F48" s="24"/>
      <c r="G48" s="24"/>
      <c r="H48" s="24"/>
      <c r="I48" s="24"/>
      <c r="J48" s="24"/>
      <c r="K48" s="24"/>
      <c r="L48" s="24"/>
      <c r="M48" s="24"/>
      <c r="N48" s="24"/>
      <c r="O48" s="24">
        <v>2195608.7007209999</v>
      </c>
      <c r="P48" s="135">
        <f t="shared" si="2"/>
        <v>2195608.7007209999</v>
      </c>
    </row>
    <row r="49" spans="1:16" x14ac:dyDescent="0.2">
      <c r="A49" s="10"/>
      <c r="B49" s="10" t="s">
        <v>97</v>
      </c>
      <c r="C49" s="125"/>
      <c r="D49" s="125">
        <f>SUM(D38:D48)</f>
        <v>731883.98565699998</v>
      </c>
      <c r="E49" s="125">
        <f t="shared" ref="E49:O49" si="3">SUM(E38:E48)</f>
        <v>109549.309702</v>
      </c>
      <c r="F49" s="125">
        <f t="shared" si="3"/>
        <v>604848.86784599989</v>
      </c>
      <c r="G49" s="125">
        <f t="shared" si="3"/>
        <v>0</v>
      </c>
      <c r="H49" s="125">
        <f t="shared" si="3"/>
        <v>0</v>
      </c>
      <c r="I49" s="125">
        <f t="shared" si="3"/>
        <v>0</v>
      </c>
      <c r="J49" s="125">
        <f t="shared" si="3"/>
        <v>0</v>
      </c>
      <c r="K49" s="125">
        <f t="shared" si="3"/>
        <v>0</v>
      </c>
      <c r="L49" s="125">
        <f t="shared" si="3"/>
        <v>0</v>
      </c>
      <c r="M49" s="125">
        <f t="shared" si="3"/>
        <v>0</v>
      </c>
      <c r="N49" s="125">
        <f t="shared" si="3"/>
        <v>0</v>
      </c>
      <c r="O49" s="125">
        <f t="shared" si="3"/>
        <v>20830160.598512501</v>
      </c>
      <c r="P49" s="26">
        <f t="shared" si="2"/>
        <v>22276442.761717502</v>
      </c>
    </row>
    <row r="52" spans="1:16" x14ac:dyDescent="0.2">
      <c r="A52" s="6" t="s">
        <v>236</v>
      </c>
    </row>
    <row r="53" spans="1:16" x14ac:dyDescent="0.2">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0866141732283472" right="0.70866141732283472" top="0.74803149606299213" bottom="0.74803149606299213" header="0.31496062992125984" footer="0.31496062992125984"/>
  <pageSetup paperSize="5" scale="70" orientation="landscape" horizontalDpi="4294967293" verticalDpi="4294967293"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3" sqref="C3"/>
    </sheetView>
  </sheetViews>
  <sheetFormatPr defaultRowHeight="15" x14ac:dyDescent="0.25"/>
  <cols>
    <col min="2" max="2" width="4.140625" customWidth="1"/>
    <col min="3" max="3" width="11.140625" customWidth="1"/>
  </cols>
  <sheetData>
    <row r="1" spans="1:3" x14ac:dyDescent="0.25">
      <c r="A1" t="s">
        <v>159</v>
      </c>
      <c r="B1" t="s">
        <v>160</v>
      </c>
    </row>
    <row r="2" spans="1:3" x14ac:dyDescent="0.25">
      <c r="B2" s="114" t="s">
        <v>17</v>
      </c>
      <c r="C2" t="s">
        <v>148</v>
      </c>
    </row>
    <row r="3" spans="1:3" x14ac:dyDescent="0.25">
      <c r="C3" t="s">
        <v>155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topLeftCell="C1" workbookViewId="0">
      <selection activeCell="K17" sqref="K17"/>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row r="5" spans="1:3" x14ac:dyDescent="0.25">
      <c r="B5" s="114" t="s">
        <v>22</v>
      </c>
      <c r="C5" t="s">
        <v>238</v>
      </c>
    </row>
    <row r="6" spans="1:3" x14ac:dyDescent="0.25">
      <c r="C6" t="s">
        <v>76</v>
      </c>
    </row>
  </sheetData>
  <pageMargins left="0.7" right="0.7" top="0.75" bottom="0.75" header="0.3" footer="0.3"/>
  <ignoredErrors>
    <ignoredError sqref="B2 B5"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0" sqref="E10"/>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zoomScale="60" zoomScaleNormal="100" workbookViewId="0">
      <selection activeCell="O37" sqref="O37"/>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sheetData>
  <pageMargins left="0.70866141732283472" right="0.70866141732283472" top="0.74803149606299213" bottom="0.74803149606299213" header="0.31496062992125984" footer="0.31496062992125984"/>
  <pageSetup paperSize="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view="pageBreakPreview" zoomScale="60" zoomScaleNormal="100" workbookViewId="0">
      <selection activeCell="O37" sqref="O37"/>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sheetData>
  <pageMargins left="0.70866141732283472" right="0.70866141732283472" top="0.74803149606299213" bottom="0.74803149606299213" header="0.31496062992125984" footer="0.31496062992125984"/>
  <pageSetup paperSize="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O37" sqref="O37"/>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0" sqref="E10"/>
    </sheetView>
  </sheetViews>
  <sheetFormatPr defaultRowHeight="15" x14ac:dyDescent="0.25"/>
  <cols>
    <col min="1" max="1" width="4.42578125" customWidth="1"/>
    <col min="2" max="2" width="4.140625" customWidth="1"/>
    <col min="3" max="3" width="11.140625" customWidth="1"/>
  </cols>
  <sheetData>
    <row r="1" spans="1:3" x14ac:dyDescent="0.25">
      <c r="A1" t="s">
        <v>161</v>
      </c>
      <c r="B1" t="s">
        <v>162</v>
      </c>
    </row>
    <row r="2" spans="1:3" x14ac:dyDescent="0.25">
      <c r="B2" s="114" t="s">
        <v>17</v>
      </c>
      <c r="C2" t="s">
        <v>148</v>
      </c>
    </row>
    <row r="3" spans="1:3" x14ac:dyDescent="0.25">
      <c r="C3" t="s">
        <v>155</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topLeftCell="A10" workbookViewId="0">
      <selection activeCell="H38" sqref="H38"/>
    </sheetView>
  </sheetViews>
  <sheetFormatPr defaultColWidth="8.7109375" defaultRowHeight="11.25" x14ac:dyDescent="0.2"/>
  <cols>
    <col min="1" max="1" width="2.5703125" style="6" bestFit="1" customWidth="1"/>
    <col min="2" max="2" width="4" style="65" customWidth="1"/>
    <col min="3" max="3" width="4.28515625" style="6" customWidth="1"/>
    <col min="4" max="4" width="3.85546875" style="6" customWidth="1"/>
    <col min="5" max="5" width="41.140625" style="6" customWidth="1"/>
    <col min="6" max="6" width="9.7109375" style="6" bestFit="1" customWidth="1"/>
    <col min="7" max="7" width="10.5703125" style="6" customWidth="1"/>
    <col min="8" max="8" width="10.42578125" style="6" customWidth="1"/>
    <col min="9" max="16384" width="8.7109375" style="6"/>
  </cols>
  <sheetData>
    <row r="1" spans="1:8" x14ac:dyDescent="0.2">
      <c r="A1" s="6" t="s">
        <v>128</v>
      </c>
      <c r="B1" s="65" t="s">
        <v>129</v>
      </c>
    </row>
    <row r="2" spans="1:8" x14ac:dyDescent="0.2">
      <c r="B2" s="3" t="s">
        <v>17</v>
      </c>
      <c r="C2" s="6" t="s">
        <v>16</v>
      </c>
    </row>
    <row r="4" spans="1:8" x14ac:dyDescent="0.2">
      <c r="A4" s="53" t="s">
        <v>80</v>
      </c>
      <c r="B4" s="353" t="s">
        <v>130</v>
      </c>
      <c r="C4" s="353"/>
      <c r="D4" s="353"/>
      <c r="E4" s="353"/>
      <c r="F4" s="353"/>
      <c r="G4" s="353"/>
      <c r="H4" s="353"/>
    </row>
    <row r="5" spans="1:8" ht="10.5" customHeight="1" x14ac:dyDescent="0.2">
      <c r="A5" s="53"/>
      <c r="B5" s="104"/>
      <c r="C5" s="104"/>
      <c r="D5" s="104"/>
      <c r="E5" s="104"/>
      <c r="F5" s="104"/>
      <c r="G5" s="305" t="s">
        <v>57</v>
      </c>
      <c r="H5" s="305"/>
    </row>
    <row r="6" spans="1:8" ht="14.45" customHeight="1" x14ac:dyDescent="0.2">
      <c r="A6" s="54"/>
      <c r="B6" s="341" t="s">
        <v>11</v>
      </c>
      <c r="C6" s="343" t="s">
        <v>19</v>
      </c>
      <c r="D6" s="344"/>
      <c r="E6" s="345"/>
      <c r="F6" s="320" t="s">
        <v>23</v>
      </c>
      <c r="G6" s="330"/>
      <c r="H6" s="330"/>
    </row>
    <row r="7" spans="1:8" ht="20.45" customHeight="1" x14ac:dyDescent="0.2">
      <c r="A7" s="56"/>
      <c r="B7" s="342"/>
      <c r="C7" s="346"/>
      <c r="D7" s="347"/>
      <c r="E7" s="348"/>
      <c r="F7" s="139" t="s">
        <v>59</v>
      </c>
      <c r="G7" s="140" t="s">
        <v>78</v>
      </c>
      <c r="H7" s="139" t="s">
        <v>79</v>
      </c>
    </row>
    <row r="8" spans="1:8" s="40" customFormat="1" ht="10.5" customHeight="1" x14ac:dyDescent="0.15">
      <c r="A8" s="73"/>
      <c r="B8" s="74" t="s">
        <v>17</v>
      </c>
      <c r="C8" s="354" t="s">
        <v>22</v>
      </c>
      <c r="D8" s="355"/>
      <c r="E8" s="356"/>
      <c r="F8" s="75" t="s">
        <v>28</v>
      </c>
      <c r="G8" s="75" t="s">
        <v>29</v>
      </c>
      <c r="H8" s="75" t="s">
        <v>30</v>
      </c>
    </row>
    <row r="9" spans="1:8" x14ac:dyDescent="0.2">
      <c r="A9" s="57"/>
      <c r="B9" s="66" t="s">
        <v>77</v>
      </c>
      <c r="C9" s="331" t="s">
        <v>0</v>
      </c>
      <c r="D9" s="331"/>
      <c r="E9" s="332"/>
      <c r="F9" s="70">
        <v>5809214.2776210001</v>
      </c>
      <c r="G9" s="70">
        <v>0</v>
      </c>
      <c r="H9" s="58">
        <v>0</v>
      </c>
    </row>
    <row r="10" spans="1:8" x14ac:dyDescent="0.2">
      <c r="A10" s="59"/>
      <c r="B10" s="67" t="s">
        <v>82</v>
      </c>
      <c r="C10" s="339" t="s">
        <v>1</v>
      </c>
      <c r="D10" s="339"/>
      <c r="E10" s="340"/>
      <c r="F10" s="71">
        <v>135727.624652</v>
      </c>
      <c r="G10" s="71">
        <v>61563.812325999999</v>
      </c>
      <c r="H10" s="61">
        <v>16806.986816500001</v>
      </c>
    </row>
    <row r="11" spans="1:8" x14ac:dyDescent="0.2">
      <c r="A11" s="57"/>
      <c r="B11" s="67" t="s">
        <v>83</v>
      </c>
      <c r="C11" s="331" t="s">
        <v>2</v>
      </c>
      <c r="D11" s="331"/>
      <c r="E11" s="332"/>
      <c r="F11" s="71">
        <v>0</v>
      </c>
      <c r="G11" s="71">
        <v>0</v>
      </c>
      <c r="H11" s="61">
        <v>0</v>
      </c>
    </row>
    <row r="12" spans="1:8" x14ac:dyDescent="0.2">
      <c r="A12" s="57"/>
      <c r="B12" s="67" t="s">
        <v>84</v>
      </c>
      <c r="C12" s="331" t="s">
        <v>68</v>
      </c>
      <c r="D12" s="331"/>
      <c r="E12" s="332"/>
      <c r="F12" s="71">
        <v>1427118.2056979998</v>
      </c>
      <c r="G12" s="71">
        <v>315274.1178756</v>
      </c>
      <c r="H12" s="62">
        <v>315274.1178756</v>
      </c>
    </row>
    <row r="13" spans="1:8" x14ac:dyDescent="0.2">
      <c r="A13" s="57"/>
      <c r="B13" s="68" t="s">
        <v>85</v>
      </c>
      <c r="C13" s="331" t="s">
        <v>4</v>
      </c>
      <c r="D13" s="331"/>
      <c r="E13" s="332"/>
      <c r="F13" s="72">
        <v>238204.590127</v>
      </c>
      <c r="G13" s="72">
        <v>83371.606544449998</v>
      </c>
      <c r="H13" s="61">
        <v>83371.606544449998</v>
      </c>
    </row>
    <row r="14" spans="1:8" x14ac:dyDescent="0.2">
      <c r="A14" s="57"/>
      <c r="B14" s="68" t="s">
        <v>86</v>
      </c>
      <c r="C14" s="331" t="s">
        <v>5</v>
      </c>
      <c r="D14" s="331"/>
      <c r="E14" s="332"/>
      <c r="F14" s="72">
        <v>8322.4039190000003</v>
      </c>
      <c r="G14" s="72">
        <v>8322.4039190000003</v>
      </c>
      <c r="H14" s="61">
        <v>8322.4039190000003</v>
      </c>
    </row>
    <row r="15" spans="1:8" x14ac:dyDescent="0.2">
      <c r="A15" s="57"/>
      <c r="B15" s="68" t="s">
        <v>87</v>
      </c>
      <c r="C15" s="331" t="s">
        <v>6</v>
      </c>
      <c r="D15" s="331"/>
      <c r="E15" s="332"/>
      <c r="F15" s="72">
        <v>9604132.9476229995</v>
      </c>
      <c r="G15" s="72">
        <v>4802066.4738114998</v>
      </c>
      <c r="H15" s="61">
        <v>4801698.9597755</v>
      </c>
    </row>
    <row r="16" spans="1:8" x14ac:dyDescent="0.2">
      <c r="A16" s="57"/>
      <c r="B16" s="68" t="s">
        <v>88</v>
      </c>
      <c r="C16" s="331" t="s">
        <v>7</v>
      </c>
      <c r="D16" s="331"/>
      <c r="E16" s="332"/>
      <c r="F16" s="72">
        <v>918566.37153200002</v>
      </c>
      <c r="G16" s="72">
        <v>688924.77864899999</v>
      </c>
      <c r="H16" s="61">
        <v>637789.72686815006</v>
      </c>
    </row>
    <row r="17" spans="1:8" x14ac:dyDescent="0.2">
      <c r="A17" s="57"/>
      <c r="B17" s="69" t="s">
        <v>89</v>
      </c>
      <c r="C17" s="331" t="s">
        <v>8</v>
      </c>
      <c r="D17" s="331"/>
      <c r="E17" s="332"/>
      <c r="F17" s="71">
        <v>1496523.029197</v>
      </c>
      <c r="G17" s="71">
        <v>1447023.029197</v>
      </c>
      <c r="H17" s="60">
        <v>1395203.603265</v>
      </c>
    </row>
    <row r="18" spans="1:8" x14ac:dyDescent="0.2">
      <c r="A18" s="57"/>
      <c r="B18" s="68" t="s">
        <v>90</v>
      </c>
      <c r="C18" s="331" t="s">
        <v>9</v>
      </c>
      <c r="D18" s="331"/>
      <c r="E18" s="332"/>
      <c r="F18" s="71">
        <v>430274.64038599998</v>
      </c>
      <c r="G18" s="71">
        <v>639941.58022849995</v>
      </c>
      <c r="H18" s="60">
        <v>636210.56079479994</v>
      </c>
    </row>
    <row r="19" spans="1:8" x14ac:dyDescent="0.2">
      <c r="A19" s="57"/>
      <c r="B19" s="68" t="s">
        <v>91</v>
      </c>
      <c r="C19" s="321" t="s">
        <v>10</v>
      </c>
      <c r="D19" s="321"/>
      <c r="E19" s="322"/>
      <c r="F19" s="72">
        <v>2250421.8545230003</v>
      </c>
      <c r="G19" s="105">
        <v>0</v>
      </c>
      <c r="H19" s="64">
        <v>1680058.8545230001</v>
      </c>
    </row>
    <row r="20" spans="1:8" x14ac:dyDescent="0.2">
      <c r="A20" s="57"/>
      <c r="B20" s="333" t="s">
        <v>97</v>
      </c>
      <c r="C20" s="334"/>
      <c r="D20" s="334"/>
      <c r="E20" s="335"/>
      <c r="F20" s="147">
        <f>SUM(F9:F19)</f>
        <v>22318505.945278</v>
      </c>
      <c r="G20" s="147">
        <f t="shared" ref="G20:H20" si="0">SUM(G9:G19)</f>
        <v>8046487.8025510497</v>
      </c>
      <c r="H20" s="147">
        <f t="shared" si="0"/>
        <v>9574736.820381999</v>
      </c>
    </row>
    <row r="23" spans="1:8" x14ac:dyDescent="0.2">
      <c r="A23" s="53" t="s">
        <v>81</v>
      </c>
      <c r="B23" s="349" t="s">
        <v>101</v>
      </c>
      <c r="C23" s="349"/>
      <c r="D23" s="349"/>
      <c r="E23" s="349"/>
      <c r="F23" s="349"/>
      <c r="G23" s="349"/>
      <c r="H23" s="349"/>
    </row>
    <row r="24" spans="1:8" x14ac:dyDescent="0.2">
      <c r="A24" s="53"/>
      <c r="B24" s="83"/>
      <c r="C24" s="83"/>
      <c r="D24" s="83"/>
      <c r="E24" s="83"/>
      <c r="F24" s="83"/>
      <c r="G24" s="305" t="s">
        <v>57</v>
      </c>
      <c r="H24" s="305"/>
    </row>
    <row r="25" spans="1:8" ht="14.45" customHeight="1" x14ac:dyDescent="0.2">
      <c r="A25" s="76"/>
      <c r="B25" s="341" t="s">
        <v>11</v>
      </c>
      <c r="C25" s="343" t="s">
        <v>19</v>
      </c>
      <c r="D25" s="344"/>
      <c r="E25" s="345"/>
      <c r="F25" s="320" t="s">
        <v>23</v>
      </c>
      <c r="G25" s="330"/>
      <c r="H25" s="330"/>
    </row>
    <row r="26" spans="1:8" ht="22.5" x14ac:dyDescent="0.2">
      <c r="A26" s="57"/>
      <c r="B26" s="342"/>
      <c r="C26" s="346"/>
      <c r="D26" s="347"/>
      <c r="E26" s="348"/>
      <c r="F26" s="141" t="s">
        <v>59</v>
      </c>
      <c r="G26" s="139" t="s">
        <v>78</v>
      </c>
      <c r="H26" s="139" t="s">
        <v>79</v>
      </c>
    </row>
    <row r="27" spans="1:8" s="40" customFormat="1" ht="10.5" customHeight="1" x14ac:dyDescent="0.15">
      <c r="A27" s="73"/>
      <c r="B27" s="90" t="s">
        <v>17</v>
      </c>
      <c r="C27" s="350" t="s">
        <v>22</v>
      </c>
      <c r="D27" s="351"/>
      <c r="E27" s="352"/>
      <c r="F27" s="91" t="s">
        <v>28</v>
      </c>
      <c r="G27" s="91" t="s">
        <v>29</v>
      </c>
      <c r="H27" s="91" t="s">
        <v>30</v>
      </c>
    </row>
    <row r="28" spans="1:8" x14ac:dyDescent="0.2">
      <c r="A28" s="57"/>
      <c r="B28" s="66" t="s">
        <v>77</v>
      </c>
      <c r="C28" s="331" t="s">
        <v>0</v>
      </c>
      <c r="D28" s="331"/>
      <c r="E28" s="332"/>
      <c r="F28" s="70">
        <v>2675</v>
      </c>
      <c r="G28" s="70">
        <v>0</v>
      </c>
      <c r="H28" s="70">
        <v>0</v>
      </c>
    </row>
    <row r="29" spans="1:8" x14ac:dyDescent="0.2">
      <c r="A29" s="81"/>
      <c r="B29" s="67" t="s">
        <v>82</v>
      </c>
      <c r="C29" s="339" t="s">
        <v>1</v>
      </c>
      <c r="D29" s="339"/>
      <c r="E29" s="340"/>
      <c r="F29" s="87">
        <v>269036.02745350002</v>
      </c>
      <c r="G29" s="87">
        <v>134518.01372675001</v>
      </c>
      <c r="H29" s="88">
        <v>1331.6837825</v>
      </c>
    </row>
    <row r="30" spans="1:8" x14ac:dyDescent="0.2">
      <c r="A30" s="57"/>
      <c r="B30" s="67" t="s">
        <v>83</v>
      </c>
      <c r="C30" s="331" t="s">
        <v>98</v>
      </c>
      <c r="D30" s="331"/>
      <c r="E30" s="332"/>
      <c r="F30" s="87">
        <v>0</v>
      </c>
      <c r="G30" s="87">
        <v>0</v>
      </c>
      <c r="H30" s="88">
        <v>0</v>
      </c>
    </row>
    <row r="31" spans="1:8" x14ac:dyDescent="0.2">
      <c r="A31" s="81"/>
      <c r="B31" s="67" t="s">
        <v>84</v>
      </c>
      <c r="C31" s="331" t="s">
        <v>99</v>
      </c>
      <c r="D31" s="331"/>
      <c r="E31" s="332"/>
      <c r="F31" s="87">
        <v>31.533471800000001</v>
      </c>
      <c r="G31" s="87">
        <v>6.3066943600000007</v>
      </c>
      <c r="H31" s="87">
        <v>6.3066943600000007</v>
      </c>
    </row>
    <row r="32" spans="1:8" x14ac:dyDescent="0.2">
      <c r="A32" s="81"/>
      <c r="B32" s="68" t="s">
        <v>85</v>
      </c>
      <c r="C32" s="331" t="s">
        <v>4</v>
      </c>
      <c r="D32" s="331"/>
      <c r="E32" s="332"/>
      <c r="F32" s="87">
        <v>28.360011</v>
      </c>
      <c r="G32" s="87">
        <v>9.926003849999999</v>
      </c>
      <c r="H32" s="88">
        <v>9.926003849999999</v>
      </c>
    </row>
    <row r="33" spans="1:8" x14ac:dyDescent="0.2">
      <c r="A33" s="81"/>
      <c r="B33" s="68" t="s">
        <v>86</v>
      </c>
      <c r="C33" s="331" t="s">
        <v>5</v>
      </c>
      <c r="D33" s="331"/>
      <c r="E33" s="332"/>
      <c r="F33" s="87">
        <v>129.82544179999999</v>
      </c>
      <c r="G33" s="87">
        <v>129.82544179999999</v>
      </c>
      <c r="H33" s="88">
        <v>129.82544179999999</v>
      </c>
    </row>
    <row r="34" spans="1:8" x14ac:dyDescent="0.2">
      <c r="A34" s="81"/>
      <c r="B34" s="68" t="s">
        <v>87</v>
      </c>
      <c r="C34" s="331" t="s">
        <v>6</v>
      </c>
      <c r="D34" s="331"/>
      <c r="E34" s="332"/>
      <c r="F34" s="89">
        <v>100.42940900000001</v>
      </c>
      <c r="G34" s="89">
        <v>50.214704500000003</v>
      </c>
      <c r="H34" s="88">
        <v>50.214704500000003</v>
      </c>
    </row>
    <row r="35" spans="1:8" x14ac:dyDescent="0.2">
      <c r="A35" s="81"/>
      <c r="B35" s="68" t="s">
        <v>88</v>
      </c>
      <c r="C35" s="331" t="s">
        <v>7</v>
      </c>
      <c r="D35" s="331"/>
      <c r="E35" s="332"/>
      <c r="F35" s="87">
        <v>111669.38948000001</v>
      </c>
      <c r="G35" s="87">
        <v>83752.042110000009</v>
      </c>
      <c r="H35" s="88">
        <v>67044.131196075017</v>
      </c>
    </row>
    <row r="36" spans="1:8" x14ac:dyDescent="0.2">
      <c r="A36" s="81"/>
      <c r="B36" s="67" t="s">
        <v>89</v>
      </c>
      <c r="C36" s="331" t="s">
        <v>8</v>
      </c>
      <c r="D36" s="331"/>
      <c r="E36" s="332"/>
      <c r="F36" s="87">
        <v>338093.33903759997</v>
      </c>
      <c r="G36" s="87">
        <v>338093.33903759997</v>
      </c>
      <c r="H36" s="88">
        <v>285765.15316559997</v>
      </c>
    </row>
    <row r="37" spans="1:8" x14ac:dyDescent="0.2">
      <c r="A37" s="81"/>
      <c r="B37" s="68" t="s">
        <v>90</v>
      </c>
      <c r="C37" s="331" t="s">
        <v>9</v>
      </c>
      <c r="D37" s="331"/>
      <c r="E37" s="332"/>
      <c r="F37" s="89">
        <v>36103.488407500001</v>
      </c>
      <c r="G37" s="89">
        <v>54155.232611250001</v>
      </c>
      <c r="H37" s="89">
        <v>54155.232611250001</v>
      </c>
    </row>
    <row r="38" spans="1:8" x14ac:dyDescent="0.2">
      <c r="A38" s="81"/>
      <c r="B38" s="333" t="s">
        <v>97</v>
      </c>
      <c r="C38" s="334"/>
      <c r="D38" s="334"/>
      <c r="E38" s="335"/>
      <c r="F38" s="148">
        <f>SUM(F28:F37)</f>
        <v>757867.39271219994</v>
      </c>
      <c r="G38" s="148">
        <f t="shared" ref="G38:H38" si="1">SUM(G28:G37)</f>
        <v>610714.90033010999</v>
      </c>
      <c r="H38" s="148">
        <f t="shared" si="1"/>
        <v>408492.47359993501</v>
      </c>
    </row>
    <row r="41" spans="1:8" x14ac:dyDescent="0.2">
      <c r="A41" s="54" t="s">
        <v>93</v>
      </c>
      <c r="B41" s="319" t="s">
        <v>103</v>
      </c>
      <c r="C41" s="319"/>
      <c r="D41" s="319"/>
      <c r="E41" s="319"/>
      <c r="F41" s="319"/>
      <c r="G41" s="319"/>
      <c r="H41" s="319"/>
    </row>
    <row r="42" spans="1:8" x14ac:dyDescent="0.2">
      <c r="A42" s="54"/>
      <c r="B42" s="326" t="s">
        <v>57</v>
      </c>
      <c r="C42" s="326"/>
      <c r="D42" s="326"/>
      <c r="E42" s="326"/>
      <c r="F42" s="326"/>
      <c r="G42" s="326"/>
      <c r="H42" s="326"/>
    </row>
    <row r="43" spans="1:8" ht="14.45" customHeight="1" x14ac:dyDescent="0.2">
      <c r="A43" s="81"/>
      <c r="B43" s="341" t="s">
        <v>11</v>
      </c>
      <c r="C43" s="343" t="s">
        <v>19</v>
      </c>
      <c r="D43" s="344"/>
      <c r="E43" s="345"/>
      <c r="F43" s="320" t="s">
        <v>23</v>
      </c>
      <c r="G43" s="330"/>
      <c r="H43" s="330"/>
    </row>
    <row r="44" spans="1:8" ht="22.5" x14ac:dyDescent="0.2">
      <c r="A44" s="56"/>
      <c r="B44" s="342"/>
      <c r="C44" s="346"/>
      <c r="D44" s="347"/>
      <c r="E44" s="348"/>
      <c r="F44" s="142" t="s">
        <v>59</v>
      </c>
      <c r="G44" s="140" t="s">
        <v>78</v>
      </c>
      <c r="H44" s="139" t="s">
        <v>79</v>
      </c>
    </row>
    <row r="45" spans="1:8" x14ac:dyDescent="0.2">
      <c r="A45" s="57"/>
      <c r="B45" s="85" t="s">
        <v>17</v>
      </c>
      <c r="C45" s="336" t="s">
        <v>22</v>
      </c>
      <c r="D45" s="337"/>
      <c r="E45" s="338"/>
      <c r="F45" s="77" t="s">
        <v>28</v>
      </c>
      <c r="G45" s="77" t="s">
        <v>29</v>
      </c>
      <c r="H45" s="77" t="s">
        <v>30</v>
      </c>
    </row>
    <row r="46" spans="1:8" x14ac:dyDescent="0.2">
      <c r="A46" s="57"/>
      <c r="B46" s="66" t="s">
        <v>77</v>
      </c>
      <c r="C46" s="331" t="s">
        <v>0</v>
      </c>
      <c r="D46" s="331"/>
      <c r="E46" s="332"/>
      <c r="F46" s="86">
        <v>263405</v>
      </c>
      <c r="G46" s="86">
        <v>0</v>
      </c>
      <c r="H46" s="87">
        <v>0</v>
      </c>
    </row>
    <row r="47" spans="1:8" x14ac:dyDescent="0.2">
      <c r="A47" s="81"/>
      <c r="B47" s="67" t="s">
        <v>82</v>
      </c>
      <c r="C47" s="339" t="s">
        <v>1</v>
      </c>
      <c r="D47" s="339"/>
      <c r="E47" s="340"/>
      <c r="F47" s="87">
        <v>0</v>
      </c>
      <c r="G47" s="87">
        <v>0</v>
      </c>
      <c r="H47" s="88">
        <v>0</v>
      </c>
    </row>
    <row r="48" spans="1:8" x14ac:dyDescent="0.2">
      <c r="A48" s="57"/>
      <c r="B48" s="67" t="s">
        <v>83</v>
      </c>
      <c r="C48" s="331" t="s">
        <v>98</v>
      </c>
      <c r="D48" s="331"/>
      <c r="E48" s="332"/>
      <c r="F48" s="87">
        <v>0</v>
      </c>
      <c r="G48" s="87">
        <v>0</v>
      </c>
      <c r="H48" s="88">
        <v>0</v>
      </c>
    </row>
    <row r="49" spans="1:8" x14ac:dyDescent="0.2">
      <c r="A49" s="81"/>
      <c r="B49" s="67" t="s">
        <v>84</v>
      </c>
      <c r="C49" s="331" t="s">
        <v>99</v>
      </c>
      <c r="D49" s="331"/>
      <c r="E49" s="332"/>
      <c r="F49" s="87">
        <v>0</v>
      </c>
      <c r="G49" s="87">
        <v>0</v>
      </c>
      <c r="H49" s="87">
        <v>0</v>
      </c>
    </row>
    <row r="50" spans="1:8" x14ac:dyDescent="0.2">
      <c r="A50" s="81"/>
      <c r="B50" s="68" t="s">
        <v>85</v>
      </c>
      <c r="C50" s="331" t="s">
        <v>7</v>
      </c>
      <c r="D50" s="331"/>
      <c r="E50" s="332"/>
      <c r="F50" s="87">
        <v>0</v>
      </c>
      <c r="G50" s="87">
        <v>0</v>
      </c>
      <c r="H50" s="88">
        <v>0</v>
      </c>
    </row>
    <row r="51" spans="1:8" x14ac:dyDescent="0.2">
      <c r="A51" s="81"/>
      <c r="B51" s="67" t="s">
        <v>86</v>
      </c>
      <c r="C51" s="331" t="s">
        <v>8</v>
      </c>
      <c r="D51" s="331"/>
      <c r="E51" s="332"/>
      <c r="F51" s="87">
        <v>0</v>
      </c>
      <c r="G51" s="87">
        <v>0</v>
      </c>
      <c r="H51" s="88">
        <v>0</v>
      </c>
    </row>
    <row r="52" spans="1:8" x14ac:dyDescent="0.2">
      <c r="A52" s="81"/>
      <c r="B52" s="149" t="s">
        <v>87</v>
      </c>
      <c r="C52" s="82" t="s">
        <v>102</v>
      </c>
      <c r="D52" s="82"/>
      <c r="E52" s="84"/>
      <c r="F52" s="87">
        <v>0</v>
      </c>
      <c r="G52" s="87">
        <v>0</v>
      </c>
      <c r="H52" s="87">
        <v>0</v>
      </c>
    </row>
    <row r="53" spans="1:8" x14ac:dyDescent="0.2">
      <c r="A53" s="81"/>
      <c r="B53" s="333" t="s">
        <v>97</v>
      </c>
      <c r="C53" s="334"/>
      <c r="D53" s="334"/>
      <c r="E53" s="335"/>
      <c r="F53" s="148">
        <v>263405</v>
      </c>
      <c r="G53" s="148">
        <v>0</v>
      </c>
      <c r="H53" s="148">
        <v>0</v>
      </c>
    </row>
    <row r="56" spans="1:8" x14ac:dyDescent="0.2">
      <c r="A56" s="54" t="s">
        <v>94</v>
      </c>
      <c r="B56" s="319" t="s">
        <v>113</v>
      </c>
      <c r="C56" s="319"/>
      <c r="D56" s="319"/>
      <c r="E56" s="319"/>
      <c r="F56" s="319"/>
      <c r="G56" s="319"/>
      <c r="H56" s="319"/>
    </row>
    <row r="57" spans="1:8" x14ac:dyDescent="0.2">
      <c r="A57" s="54"/>
      <c r="B57" s="326" t="s">
        <v>57</v>
      </c>
      <c r="C57" s="326"/>
      <c r="D57" s="326"/>
      <c r="E57" s="326"/>
      <c r="F57" s="326"/>
      <c r="G57" s="326"/>
      <c r="H57" s="326"/>
    </row>
    <row r="58" spans="1:8" ht="14.45" customHeight="1" x14ac:dyDescent="0.2">
      <c r="A58" s="54"/>
      <c r="B58" s="307" t="s">
        <v>11</v>
      </c>
      <c r="C58" s="309" t="s">
        <v>104</v>
      </c>
      <c r="D58" s="310"/>
      <c r="E58" s="311"/>
      <c r="F58" s="320" t="s">
        <v>23</v>
      </c>
      <c r="G58" s="330"/>
      <c r="H58" s="330"/>
    </row>
    <row r="59" spans="1:8" ht="33.75" x14ac:dyDescent="0.2">
      <c r="A59" s="54"/>
      <c r="B59" s="308"/>
      <c r="C59" s="312"/>
      <c r="D59" s="313"/>
      <c r="E59" s="314"/>
      <c r="F59" s="143" t="s">
        <v>105</v>
      </c>
      <c r="G59" s="144" t="s">
        <v>106</v>
      </c>
      <c r="H59" s="145" t="s">
        <v>26</v>
      </c>
    </row>
    <row r="60" spans="1:8" x14ac:dyDescent="0.2">
      <c r="A60" s="54"/>
      <c r="B60" s="130" t="s">
        <v>17</v>
      </c>
      <c r="C60" s="327" t="s">
        <v>22</v>
      </c>
      <c r="D60" s="328"/>
      <c r="E60" s="329"/>
      <c r="F60" s="85" t="s">
        <v>28</v>
      </c>
      <c r="G60" s="92" t="s">
        <v>29</v>
      </c>
      <c r="H60" s="92" t="s">
        <v>30</v>
      </c>
    </row>
    <row r="61" spans="1:8" x14ac:dyDescent="0.2">
      <c r="A61" s="81"/>
      <c r="B61" s="68" t="s">
        <v>77</v>
      </c>
      <c r="C61" s="321" t="s">
        <v>107</v>
      </c>
      <c r="D61" s="321"/>
      <c r="E61" s="322"/>
      <c r="F61" s="93">
        <v>0</v>
      </c>
      <c r="G61" s="79">
        <v>0</v>
      </c>
      <c r="H61" s="93">
        <v>0</v>
      </c>
    </row>
    <row r="62" spans="1:8" x14ac:dyDescent="0.2">
      <c r="A62" s="81"/>
      <c r="B62" s="68"/>
      <c r="C62" s="94" t="s">
        <v>80</v>
      </c>
      <c r="D62" s="321" t="s">
        <v>108</v>
      </c>
      <c r="E62" s="322"/>
      <c r="F62" s="79">
        <v>0</v>
      </c>
      <c r="G62" s="79">
        <v>0</v>
      </c>
      <c r="H62" s="79">
        <v>0</v>
      </c>
    </row>
    <row r="63" spans="1:8" x14ac:dyDescent="0.2">
      <c r="A63" s="81"/>
      <c r="B63" s="68"/>
      <c r="C63" s="94" t="s">
        <v>81</v>
      </c>
      <c r="D63" s="321" t="s">
        <v>109</v>
      </c>
      <c r="E63" s="322"/>
      <c r="F63" s="79">
        <v>0</v>
      </c>
      <c r="G63" s="79">
        <v>0</v>
      </c>
      <c r="H63" s="79">
        <v>0</v>
      </c>
    </row>
    <row r="64" spans="1:8" x14ac:dyDescent="0.2">
      <c r="A64" s="81"/>
      <c r="B64" s="68"/>
      <c r="C64" s="94" t="s">
        <v>93</v>
      </c>
      <c r="D64" s="321" t="s">
        <v>110</v>
      </c>
      <c r="E64" s="322"/>
      <c r="F64" s="79">
        <v>0</v>
      </c>
      <c r="G64" s="79">
        <v>0</v>
      </c>
      <c r="H64" s="79">
        <v>0</v>
      </c>
    </row>
    <row r="65" spans="1:9" x14ac:dyDescent="0.2">
      <c r="A65" s="81"/>
      <c r="B65" s="68"/>
      <c r="C65" s="94" t="s">
        <v>94</v>
      </c>
      <c r="D65" s="321" t="s">
        <v>111</v>
      </c>
      <c r="E65" s="322"/>
      <c r="F65" s="79">
        <v>0</v>
      </c>
      <c r="G65" s="79">
        <v>0</v>
      </c>
      <c r="H65" s="79">
        <v>0</v>
      </c>
    </row>
    <row r="66" spans="1:9" x14ac:dyDescent="0.2">
      <c r="A66" s="81"/>
      <c r="B66" s="68" t="s">
        <v>82</v>
      </c>
      <c r="C66" s="321" t="s">
        <v>112</v>
      </c>
      <c r="D66" s="321"/>
      <c r="E66" s="322"/>
      <c r="F66" s="79">
        <v>0</v>
      </c>
      <c r="G66" s="79">
        <v>0</v>
      </c>
      <c r="H66" s="79">
        <v>0</v>
      </c>
    </row>
    <row r="67" spans="1:9" x14ac:dyDescent="0.2">
      <c r="A67" s="96"/>
      <c r="B67" s="323" t="s">
        <v>97</v>
      </c>
      <c r="C67" s="324"/>
      <c r="D67" s="324"/>
      <c r="E67" s="325"/>
      <c r="F67" s="93">
        <f>SUM(F61:F66)</f>
        <v>0</v>
      </c>
      <c r="G67" s="93">
        <f t="shared" ref="G67:H67" si="2">SUM(G61:G66)</f>
        <v>0</v>
      </c>
      <c r="H67" s="93">
        <f t="shared" si="2"/>
        <v>0</v>
      </c>
    </row>
    <row r="70" spans="1:9" x14ac:dyDescent="0.2">
      <c r="A70" s="54" t="s">
        <v>95</v>
      </c>
      <c r="B70" s="319" t="s">
        <v>114</v>
      </c>
      <c r="C70" s="319"/>
      <c r="D70" s="319"/>
      <c r="E70" s="319"/>
      <c r="F70" s="319"/>
      <c r="G70" s="319"/>
      <c r="H70" s="319"/>
    </row>
    <row r="71" spans="1:9" x14ac:dyDescent="0.2">
      <c r="A71" s="54"/>
      <c r="B71" s="54"/>
      <c r="C71" s="54"/>
      <c r="D71" s="54"/>
      <c r="E71" s="54"/>
      <c r="F71" s="54"/>
      <c r="G71" s="106" t="s">
        <v>57</v>
      </c>
      <c r="H71" s="54"/>
    </row>
    <row r="72" spans="1:9" ht="14.45" customHeight="1" x14ac:dyDescent="0.2">
      <c r="A72" s="54"/>
      <c r="B72" s="307" t="s">
        <v>11</v>
      </c>
      <c r="C72" s="309" t="s">
        <v>104</v>
      </c>
      <c r="D72" s="310"/>
      <c r="E72" s="311"/>
      <c r="F72" s="320" t="s">
        <v>23</v>
      </c>
      <c r="G72" s="320"/>
      <c r="H72" s="54"/>
      <c r="I72" s="54"/>
    </row>
    <row r="73" spans="1:9" ht="33.75" x14ac:dyDescent="0.2">
      <c r="A73" s="54"/>
      <c r="B73" s="308"/>
      <c r="C73" s="312"/>
      <c r="D73" s="313"/>
      <c r="E73" s="314"/>
      <c r="F73" s="144" t="s">
        <v>106</v>
      </c>
      <c r="G73" s="139" t="s">
        <v>26</v>
      </c>
    </row>
    <row r="74" spans="1:9" x14ac:dyDescent="0.2">
      <c r="A74" s="55"/>
      <c r="B74" s="92" t="s">
        <v>17</v>
      </c>
      <c r="C74" s="317" t="s">
        <v>22</v>
      </c>
      <c r="D74" s="318"/>
      <c r="E74" s="318"/>
      <c r="F74" s="85" t="s">
        <v>28</v>
      </c>
      <c r="G74" s="85" t="s">
        <v>29</v>
      </c>
    </row>
    <row r="75" spans="1:9" x14ac:dyDescent="0.2">
      <c r="A75" s="81"/>
      <c r="B75" s="68" t="s">
        <v>77</v>
      </c>
      <c r="C75" s="315" t="s">
        <v>115</v>
      </c>
      <c r="D75" s="315"/>
      <c r="E75" s="315"/>
      <c r="F75" s="79">
        <v>0</v>
      </c>
      <c r="G75" s="79">
        <v>0</v>
      </c>
    </row>
    <row r="76" spans="1:9" x14ac:dyDescent="0.2">
      <c r="A76" s="81"/>
      <c r="B76" s="68" t="s">
        <v>82</v>
      </c>
      <c r="C76" s="315" t="s">
        <v>116</v>
      </c>
      <c r="D76" s="315"/>
      <c r="E76" s="315"/>
      <c r="F76" s="79">
        <v>0</v>
      </c>
      <c r="G76" s="79">
        <v>0</v>
      </c>
    </row>
    <row r="77" spans="1:9" x14ac:dyDescent="0.2">
      <c r="A77" s="81"/>
      <c r="B77" s="68" t="s">
        <v>83</v>
      </c>
      <c r="C77" s="315" t="s">
        <v>117</v>
      </c>
      <c r="D77" s="315"/>
      <c r="E77" s="315"/>
      <c r="F77" s="95"/>
      <c r="G77" s="79">
        <v>0</v>
      </c>
    </row>
    <row r="78" spans="1:9" x14ac:dyDescent="0.2">
      <c r="A78" s="81"/>
      <c r="B78" s="68" t="s">
        <v>84</v>
      </c>
      <c r="C78" s="315" t="s">
        <v>118</v>
      </c>
      <c r="D78" s="315"/>
      <c r="E78" s="315"/>
      <c r="F78" s="79">
        <v>0</v>
      </c>
      <c r="G78" s="79">
        <v>0</v>
      </c>
    </row>
    <row r="79" spans="1:9" x14ac:dyDescent="0.2">
      <c r="A79" s="81"/>
      <c r="B79" s="68" t="s">
        <v>85</v>
      </c>
      <c r="C79" s="315" t="s">
        <v>119</v>
      </c>
      <c r="D79" s="315"/>
      <c r="E79" s="315"/>
      <c r="F79" s="79">
        <v>0</v>
      </c>
      <c r="G79" s="79">
        <v>0</v>
      </c>
    </row>
    <row r="80" spans="1:9" x14ac:dyDescent="0.2">
      <c r="A80" s="81"/>
      <c r="B80" s="68" t="s">
        <v>86</v>
      </c>
      <c r="C80" s="315" t="s">
        <v>120</v>
      </c>
      <c r="D80" s="315"/>
      <c r="E80" s="315"/>
      <c r="F80" s="79">
        <v>0</v>
      </c>
      <c r="G80" s="79">
        <v>0</v>
      </c>
    </row>
    <row r="81" spans="1:8" x14ac:dyDescent="0.2">
      <c r="A81" s="81"/>
      <c r="B81" s="97" t="s">
        <v>87</v>
      </c>
      <c r="C81" s="316" t="s">
        <v>121</v>
      </c>
      <c r="D81" s="316"/>
      <c r="E81" s="316"/>
      <c r="F81" s="95"/>
      <c r="G81" s="79">
        <v>0</v>
      </c>
    </row>
    <row r="82" spans="1:8" x14ac:dyDescent="0.2">
      <c r="A82" s="81"/>
      <c r="B82" s="306" t="s">
        <v>97</v>
      </c>
      <c r="C82" s="306"/>
      <c r="D82" s="306"/>
      <c r="E82" s="306"/>
      <c r="F82" s="93">
        <f>SUM(F75,F76,F77:F78,F79,F80:F81)</f>
        <v>0</v>
      </c>
      <c r="G82" s="93">
        <f>SUM(G75,G76,G77:G78,G79,G80:G81)</f>
        <v>0</v>
      </c>
    </row>
    <row r="85" spans="1:8" x14ac:dyDescent="0.2">
      <c r="A85" s="54" t="s">
        <v>96</v>
      </c>
      <c r="B85" s="54" t="s">
        <v>122</v>
      </c>
      <c r="C85" s="54"/>
      <c r="D85" s="54"/>
      <c r="E85" s="54"/>
      <c r="F85" s="106" t="s">
        <v>57</v>
      </c>
      <c r="G85" s="54"/>
      <c r="H85" s="54"/>
    </row>
    <row r="86" spans="1:8" x14ac:dyDescent="0.2">
      <c r="A86" s="54"/>
      <c r="B86" s="302"/>
      <c r="C86" s="303"/>
      <c r="D86" s="303"/>
      <c r="E86" s="304"/>
      <c r="F86" s="146" t="s">
        <v>23</v>
      </c>
      <c r="G86" s="54"/>
    </row>
    <row r="87" spans="1:8" x14ac:dyDescent="0.2">
      <c r="A87" s="81"/>
      <c r="B87" s="301" t="s">
        <v>123</v>
      </c>
      <c r="C87" s="301"/>
      <c r="D87" s="301"/>
      <c r="E87" s="301"/>
      <c r="F87" s="93">
        <f>H20+H38+H53+H67+G82</f>
        <v>9983229.293981934</v>
      </c>
      <c r="G87" s="98"/>
    </row>
    <row r="88" spans="1:8" x14ac:dyDescent="0.2">
      <c r="A88" s="81"/>
      <c r="B88" s="301" t="s">
        <v>124</v>
      </c>
      <c r="C88" s="301"/>
      <c r="D88" s="301"/>
      <c r="E88" s="301"/>
      <c r="F88" s="99">
        <v>0</v>
      </c>
      <c r="G88" s="98"/>
    </row>
    <row r="91" spans="1:8" x14ac:dyDescent="0.2">
      <c r="A91" s="3" t="s">
        <v>22</v>
      </c>
      <c r="B91" s="6" t="s">
        <v>125</v>
      </c>
    </row>
    <row r="92" spans="1:8" x14ac:dyDescent="0.2">
      <c r="A92" s="22"/>
      <c r="B92" s="8" t="s">
        <v>76</v>
      </c>
    </row>
  </sheetData>
  <mergeCells count="77">
    <mergeCell ref="C10:E10"/>
    <mergeCell ref="C11:E11"/>
    <mergeCell ref="C12:E12"/>
    <mergeCell ref="B4:H4"/>
    <mergeCell ref="C8:E8"/>
    <mergeCell ref="C9:E9"/>
    <mergeCell ref="C29:E29"/>
    <mergeCell ref="C30:E30"/>
    <mergeCell ref="C31:E31"/>
    <mergeCell ref="B20:E20"/>
    <mergeCell ref="F6:H6"/>
    <mergeCell ref="B6:B7"/>
    <mergeCell ref="C6:E7"/>
    <mergeCell ref="B23:H23"/>
    <mergeCell ref="C19:E19"/>
    <mergeCell ref="C27:E27"/>
    <mergeCell ref="C13:E13"/>
    <mergeCell ref="C14:E14"/>
    <mergeCell ref="C15:E15"/>
    <mergeCell ref="C16:E16"/>
    <mergeCell ref="C17:E17"/>
    <mergeCell ref="C18:E18"/>
    <mergeCell ref="B25:B26"/>
    <mergeCell ref="C25:E26"/>
    <mergeCell ref="B41:H41"/>
    <mergeCell ref="B42:H42"/>
    <mergeCell ref="F43:H43"/>
    <mergeCell ref="B43:B44"/>
    <mergeCell ref="C43:E44"/>
    <mergeCell ref="C36:E36"/>
    <mergeCell ref="C37:E37"/>
    <mergeCell ref="B38:E38"/>
    <mergeCell ref="F25:H25"/>
    <mergeCell ref="C32:E32"/>
    <mergeCell ref="C33:E33"/>
    <mergeCell ref="C34:E34"/>
    <mergeCell ref="C35:E35"/>
    <mergeCell ref="C28:E28"/>
    <mergeCell ref="C49:E49"/>
    <mergeCell ref="C50:E50"/>
    <mergeCell ref="C51:E51"/>
    <mergeCell ref="B53:E53"/>
    <mergeCell ref="C45:E45"/>
    <mergeCell ref="C46:E46"/>
    <mergeCell ref="C47:E47"/>
    <mergeCell ref="C48:E48"/>
    <mergeCell ref="B56:H56"/>
    <mergeCell ref="B57:H57"/>
    <mergeCell ref="C60:E60"/>
    <mergeCell ref="C61:E61"/>
    <mergeCell ref="D62:E62"/>
    <mergeCell ref="B58:B59"/>
    <mergeCell ref="C58:E59"/>
    <mergeCell ref="F58:H58"/>
    <mergeCell ref="B70:H70"/>
    <mergeCell ref="F72:G72"/>
    <mergeCell ref="D63:E63"/>
    <mergeCell ref="D64:E64"/>
    <mergeCell ref="D65:E65"/>
    <mergeCell ref="C66:E66"/>
    <mergeCell ref="B67:E67"/>
    <mergeCell ref="B87:E87"/>
    <mergeCell ref="B88:E88"/>
    <mergeCell ref="B86:E86"/>
    <mergeCell ref="G5:H5"/>
    <mergeCell ref="G24:H24"/>
    <mergeCell ref="B82:E82"/>
    <mergeCell ref="B72:B73"/>
    <mergeCell ref="C72:E73"/>
    <mergeCell ref="C78:E78"/>
    <mergeCell ref="C79:E79"/>
    <mergeCell ref="C80:E80"/>
    <mergeCell ref="C81:E81"/>
    <mergeCell ref="C74:E74"/>
    <mergeCell ref="C75:E75"/>
    <mergeCell ref="C76:E76"/>
    <mergeCell ref="C77:E77"/>
  </mergeCells>
  <dataValidations count="1">
    <dataValidation type="decimal" operator="greaterThanOrEqual" allowBlank="1" showInputMessage="1" showErrorMessage="1" promptTitle="Data Input" prompt="Enter value greater than or equal to zero" sqref="F19:H19 H17:H18 H12 F10:G18 H31 F35:G36 F29:G33 H49 H46 F47:G51 F52:H52">
      <formula1>0</formula1>
    </dataValidation>
  </dataValidations>
  <pageMargins left="0.7" right="0.7" top="0.75" bottom="0.75" header="0.3" footer="0.3"/>
  <ignoredErrors>
    <ignoredError sqref="B2 B8:B19 C8:H8 B27:B37 C27:H27 B45:B52 C45:H45 B60:B66 C60:H60 B74:B81 C74:G74 A91:B92"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election activeCell="J9" sqref="J9"/>
    </sheetView>
  </sheetViews>
  <sheetFormatPr defaultColWidth="8.7109375" defaultRowHeight="11.25" x14ac:dyDescent="0.2"/>
  <cols>
    <col min="1" max="1" width="4.140625" style="6" customWidth="1"/>
    <col min="2" max="2" width="4" style="65" customWidth="1"/>
    <col min="3" max="3" width="4.28515625" style="6" customWidth="1"/>
    <col min="4" max="4" width="3.85546875" style="6" customWidth="1"/>
    <col min="5" max="5" width="39.140625" style="6" customWidth="1"/>
    <col min="6" max="6" width="9.7109375" style="6" bestFit="1" customWidth="1"/>
    <col min="7" max="7" width="10.5703125" style="6" customWidth="1"/>
    <col min="8" max="8" width="10.42578125" style="6" customWidth="1"/>
    <col min="9" max="16384" width="8.7109375" style="6"/>
  </cols>
  <sheetData>
    <row r="1" spans="1:12" x14ac:dyDescent="0.2">
      <c r="B1" s="65" t="s">
        <v>129</v>
      </c>
    </row>
    <row r="2" spans="1:12" x14ac:dyDescent="0.2">
      <c r="B2" s="3" t="s">
        <v>17</v>
      </c>
      <c r="C2" s="6" t="s">
        <v>16</v>
      </c>
    </row>
    <row r="3" spans="1:12" ht="10.5" customHeight="1" x14ac:dyDescent="0.2">
      <c r="B3" s="3"/>
      <c r="J3" s="357" t="s">
        <v>57</v>
      </c>
      <c r="K3" s="357"/>
    </row>
    <row r="4" spans="1:12" x14ac:dyDescent="0.2">
      <c r="A4" s="53" t="s">
        <v>80</v>
      </c>
      <c r="B4" s="353" t="s">
        <v>100</v>
      </c>
      <c r="C4" s="353"/>
      <c r="D4" s="353"/>
      <c r="E4" s="353"/>
      <c r="F4" s="353"/>
      <c r="G4" s="353"/>
      <c r="H4" s="353"/>
    </row>
    <row r="5" spans="1:12" ht="10.5" customHeight="1" x14ac:dyDescent="0.2">
      <c r="A5" s="53"/>
      <c r="B5" s="349"/>
      <c r="C5" s="349"/>
      <c r="D5" s="349"/>
      <c r="E5" s="349"/>
      <c r="F5" s="349"/>
      <c r="G5" s="349"/>
      <c r="H5" s="349"/>
      <c r="K5" s="162"/>
      <c r="L5" s="162"/>
    </row>
    <row r="6" spans="1:12" ht="14.45" customHeight="1" x14ac:dyDescent="0.2">
      <c r="A6" s="54"/>
      <c r="B6" s="341" t="s">
        <v>11</v>
      </c>
      <c r="C6" s="343" t="s">
        <v>19</v>
      </c>
      <c r="D6" s="344"/>
      <c r="E6" s="345"/>
      <c r="F6" s="320" t="s">
        <v>58</v>
      </c>
      <c r="G6" s="330"/>
      <c r="H6" s="330"/>
      <c r="I6" s="320" t="s">
        <v>23</v>
      </c>
      <c r="J6" s="330"/>
      <c r="K6" s="330"/>
    </row>
    <row r="7" spans="1:12" ht="20.45" customHeight="1" x14ac:dyDescent="0.2">
      <c r="A7" s="56"/>
      <c r="B7" s="342"/>
      <c r="C7" s="346"/>
      <c r="D7" s="347"/>
      <c r="E7" s="348"/>
      <c r="F7" s="139" t="s">
        <v>59</v>
      </c>
      <c r="G7" s="140" t="s">
        <v>78</v>
      </c>
      <c r="H7" s="139" t="s">
        <v>79</v>
      </c>
      <c r="I7" s="139" t="s">
        <v>59</v>
      </c>
      <c r="J7" s="140" t="s">
        <v>78</v>
      </c>
      <c r="K7" s="139" t="s">
        <v>79</v>
      </c>
    </row>
    <row r="8" spans="1:12" s="40" customFormat="1" ht="10.5" customHeight="1" x14ac:dyDescent="0.15">
      <c r="A8" s="73"/>
      <c r="B8" s="74" t="s">
        <v>17</v>
      </c>
      <c r="C8" s="354" t="s">
        <v>22</v>
      </c>
      <c r="D8" s="355"/>
      <c r="E8" s="356"/>
      <c r="F8" s="75" t="s">
        <v>28</v>
      </c>
      <c r="G8" s="75" t="s">
        <v>29</v>
      </c>
      <c r="H8" s="75" t="s">
        <v>30</v>
      </c>
      <c r="I8" s="75" t="s">
        <v>28</v>
      </c>
      <c r="J8" s="75" t="s">
        <v>29</v>
      </c>
      <c r="K8" s="75" t="s">
        <v>30</v>
      </c>
    </row>
    <row r="9" spans="1:12" x14ac:dyDescent="0.2">
      <c r="A9" s="57"/>
      <c r="B9" s="66" t="s">
        <v>77</v>
      </c>
      <c r="C9" s="331" t="s">
        <v>0</v>
      </c>
      <c r="D9" s="331"/>
      <c r="E9" s="332"/>
      <c r="F9" s="70">
        <v>4125714.0279359994</v>
      </c>
      <c r="G9" s="70">
        <v>0</v>
      </c>
      <c r="H9" s="58">
        <v>0</v>
      </c>
      <c r="I9" s="70">
        <v>5809214.2776210001</v>
      </c>
      <c r="J9" s="70">
        <v>0</v>
      </c>
      <c r="K9" s="58">
        <v>0</v>
      </c>
    </row>
    <row r="10" spans="1:12" x14ac:dyDescent="0.2">
      <c r="A10" s="59"/>
      <c r="B10" s="67" t="s">
        <v>82</v>
      </c>
      <c r="C10" s="339" t="s">
        <v>1</v>
      </c>
      <c r="D10" s="339"/>
      <c r="E10" s="340"/>
      <c r="F10" s="71">
        <v>114670.83726099999</v>
      </c>
      <c r="G10" s="71">
        <v>33045.858630499999</v>
      </c>
      <c r="H10" s="61">
        <v>26349.430057999998</v>
      </c>
      <c r="I10" s="71">
        <v>135727.624652</v>
      </c>
      <c r="J10" s="71">
        <v>61563.812325999999</v>
      </c>
      <c r="K10" s="61">
        <v>16806.986816500001</v>
      </c>
    </row>
    <row r="11" spans="1:12" x14ac:dyDescent="0.2">
      <c r="A11" s="57"/>
      <c r="B11" s="67" t="s">
        <v>83</v>
      </c>
      <c r="C11" s="331" t="s">
        <v>2</v>
      </c>
      <c r="D11" s="331"/>
      <c r="E11" s="332"/>
      <c r="F11" s="71">
        <v>175.88904600000001</v>
      </c>
      <c r="G11" s="71">
        <v>87.944523000000004</v>
      </c>
      <c r="H11" s="61">
        <v>87.944523000000004</v>
      </c>
      <c r="I11" s="71">
        <v>0</v>
      </c>
      <c r="J11" s="71">
        <v>0</v>
      </c>
      <c r="K11" s="61">
        <v>0</v>
      </c>
    </row>
    <row r="12" spans="1:12" x14ac:dyDescent="0.2">
      <c r="A12" s="57"/>
      <c r="B12" s="67" t="s">
        <v>84</v>
      </c>
      <c r="C12" s="331" t="s">
        <v>68</v>
      </c>
      <c r="D12" s="331"/>
      <c r="E12" s="332"/>
      <c r="F12" s="71">
        <v>1445230.801344</v>
      </c>
      <c r="G12" s="71">
        <v>313064.59567110002</v>
      </c>
      <c r="H12" s="62">
        <v>313064.59567110002</v>
      </c>
      <c r="I12" s="71">
        <v>1427118.2056979998</v>
      </c>
      <c r="J12" s="71">
        <v>315274.1178756</v>
      </c>
      <c r="K12" s="62">
        <v>315274.1178756</v>
      </c>
    </row>
    <row r="13" spans="1:12" x14ac:dyDescent="0.2">
      <c r="A13" s="57"/>
      <c r="B13" s="68" t="s">
        <v>85</v>
      </c>
      <c r="C13" s="331" t="s">
        <v>4</v>
      </c>
      <c r="D13" s="331"/>
      <c r="E13" s="332"/>
      <c r="F13" s="72">
        <v>241209.872431</v>
      </c>
      <c r="G13" s="72">
        <v>84423.455350849996</v>
      </c>
      <c r="H13" s="61">
        <v>84423.455350849996</v>
      </c>
      <c r="I13" s="72">
        <v>238204.590127</v>
      </c>
      <c r="J13" s="72">
        <v>83371.606544449998</v>
      </c>
      <c r="K13" s="61">
        <v>83371.606544449998</v>
      </c>
    </row>
    <row r="14" spans="1:12" x14ac:dyDescent="0.2">
      <c r="A14" s="57"/>
      <c r="B14" s="68" t="s">
        <v>86</v>
      </c>
      <c r="C14" s="331" t="s">
        <v>5</v>
      </c>
      <c r="D14" s="331"/>
      <c r="E14" s="332"/>
      <c r="F14" s="72">
        <v>62471.178787999997</v>
      </c>
      <c r="G14" s="72">
        <v>62471.178787999997</v>
      </c>
      <c r="H14" s="61">
        <v>62471.178787999997</v>
      </c>
      <c r="I14" s="72">
        <v>8322.4039190000003</v>
      </c>
      <c r="J14" s="72">
        <v>8322.4039190000003</v>
      </c>
      <c r="K14" s="61">
        <v>8322.4039190000003</v>
      </c>
    </row>
    <row r="15" spans="1:12" x14ac:dyDescent="0.2">
      <c r="A15" s="57"/>
      <c r="B15" s="68" t="s">
        <v>87</v>
      </c>
      <c r="C15" s="331" t="s">
        <v>6</v>
      </c>
      <c r="D15" s="331"/>
      <c r="E15" s="332"/>
      <c r="F15" s="72">
        <v>10123841.65105</v>
      </c>
      <c r="G15" s="72">
        <v>5061920.8255249998</v>
      </c>
      <c r="H15" s="61">
        <v>5061292.5808078991</v>
      </c>
      <c r="I15" s="72">
        <v>9604132.9476229995</v>
      </c>
      <c r="J15" s="72">
        <v>4802066.4738114998</v>
      </c>
      <c r="K15" s="61">
        <v>4801698.9597755</v>
      </c>
    </row>
    <row r="16" spans="1:12" x14ac:dyDescent="0.2">
      <c r="A16" s="57"/>
      <c r="B16" s="68" t="s">
        <v>88</v>
      </c>
      <c r="C16" s="331" t="s">
        <v>7</v>
      </c>
      <c r="D16" s="331"/>
      <c r="E16" s="332"/>
      <c r="F16" s="72">
        <v>1020447.584684</v>
      </c>
      <c r="G16" s="72">
        <v>765335.68851300003</v>
      </c>
      <c r="H16" s="61">
        <v>716057.07600869995</v>
      </c>
      <c r="I16" s="72">
        <v>918566.37153200002</v>
      </c>
      <c r="J16" s="72">
        <v>688924.77864899999</v>
      </c>
      <c r="K16" s="61">
        <v>637789.72686815006</v>
      </c>
    </row>
    <row r="17" spans="1:11" x14ac:dyDescent="0.2">
      <c r="A17" s="57"/>
      <c r="B17" s="69" t="s">
        <v>89</v>
      </c>
      <c r="C17" s="331" t="s">
        <v>8</v>
      </c>
      <c r="D17" s="331"/>
      <c r="E17" s="332"/>
      <c r="F17" s="71">
        <v>1816198.7691409998</v>
      </c>
      <c r="G17" s="71">
        <v>1719200.0491409998</v>
      </c>
      <c r="H17" s="60">
        <v>1677063.0039059997</v>
      </c>
      <c r="I17" s="71">
        <v>1496523.029197</v>
      </c>
      <c r="J17" s="71">
        <v>1447023.029197</v>
      </c>
      <c r="K17" s="60">
        <v>1395203.603265</v>
      </c>
    </row>
    <row r="18" spans="1:11" x14ac:dyDescent="0.2">
      <c r="A18" s="57"/>
      <c r="B18" s="68" t="s">
        <v>90</v>
      </c>
      <c r="C18" s="331" t="s">
        <v>9</v>
      </c>
      <c r="D18" s="331"/>
      <c r="E18" s="332"/>
      <c r="F18" s="71">
        <v>286787.56357100001</v>
      </c>
      <c r="G18" s="71">
        <v>365468.35408750002</v>
      </c>
      <c r="H18" s="60">
        <v>364611.55109760002</v>
      </c>
      <c r="I18" s="71">
        <v>430274.64038599998</v>
      </c>
      <c r="J18" s="71">
        <v>639941.58022849995</v>
      </c>
      <c r="K18" s="60">
        <v>636210.56079479994</v>
      </c>
    </row>
    <row r="19" spans="1:11" x14ac:dyDescent="0.2">
      <c r="A19" s="57"/>
      <c r="B19" s="63" t="s">
        <v>91</v>
      </c>
      <c r="C19" s="321" t="s">
        <v>10</v>
      </c>
      <c r="D19" s="321"/>
      <c r="E19" s="322"/>
      <c r="F19" s="72">
        <v>2195608.7007209999</v>
      </c>
      <c r="G19" s="72">
        <v>0</v>
      </c>
      <c r="H19" s="64">
        <v>1621487.4906189998</v>
      </c>
      <c r="I19" s="72">
        <v>2250421.8545230003</v>
      </c>
      <c r="J19" s="72">
        <v>0</v>
      </c>
      <c r="K19" s="64">
        <v>1680058.8545230001</v>
      </c>
    </row>
    <row r="20" spans="1:11" x14ac:dyDescent="0.2">
      <c r="A20" s="57"/>
      <c r="B20" s="333" t="s">
        <v>97</v>
      </c>
      <c r="C20" s="334"/>
      <c r="D20" s="334"/>
      <c r="E20" s="335"/>
      <c r="F20" s="147">
        <f>SUM(F9:F19)</f>
        <v>21432356.875972997</v>
      </c>
      <c r="G20" s="147">
        <f>SUM(G9:G19)</f>
        <v>8405017.9502299502</v>
      </c>
      <c r="H20" s="147">
        <f>SUM(H9:H19)</f>
        <v>9926908.3068301473</v>
      </c>
      <c r="I20" s="147">
        <f t="shared" ref="I20:K20" si="0">SUM(I9:I19)</f>
        <v>22318505.945278</v>
      </c>
      <c r="J20" s="147">
        <f t="shared" si="0"/>
        <v>8046487.8025510497</v>
      </c>
      <c r="K20" s="147">
        <f t="shared" si="0"/>
        <v>9574736.820381999</v>
      </c>
    </row>
    <row r="23" spans="1:11" x14ac:dyDescent="0.2">
      <c r="A23" s="53" t="s">
        <v>81</v>
      </c>
      <c r="B23" s="349" t="s">
        <v>101</v>
      </c>
      <c r="C23" s="349"/>
      <c r="D23" s="349"/>
      <c r="E23" s="349"/>
      <c r="F23" s="349"/>
      <c r="G23" s="349"/>
      <c r="H23" s="349"/>
    </row>
    <row r="24" spans="1:11" x14ac:dyDescent="0.2">
      <c r="A24" s="53"/>
      <c r="B24" s="83"/>
      <c r="C24" s="83"/>
      <c r="D24" s="83"/>
      <c r="E24" s="83"/>
      <c r="F24" s="83"/>
      <c r="G24" s="83"/>
      <c r="H24" s="83"/>
    </row>
    <row r="25" spans="1:11" ht="14.45" customHeight="1" x14ac:dyDescent="0.2">
      <c r="A25" s="76"/>
      <c r="B25" s="341" t="s">
        <v>11</v>
      </c>
      <c r="C25" s="343" t="s">
        <v>19</v>
      </c>
      <c r="D25" s="344"/>
      <c r="E25" s="345"/>
      <c r="F25" s="320" t="s">
        <v>58</v>
      </c>
      <c r="G25" s="330"/>
      <c r="H25" s="330"/>
      <c r="I25" s="320" t="s">
        <v>23</v>
      </c>
      <c r="J25" s="330"/>
      <c r="K25" s="330"/>
    </row>
    <row r="26" spans="1:11" ht="33.75" x14ac:dyDescent="0.2">
      <c r="A26" s="57"/>
      <c r="B26" s="342"/>
      <c r="C26" s="346"/>
      <c r="D26" s="347"/>
      <c r="E26" s="348"/>
      <c r="F26" s="141" t="s">
        <v>59</v>
      </c>
      <c r="G26" s="139" t="s">
        <v>78</v>
      </c>
      <c r="H26" s="139" t="s">
        <v>79</v>
      </c>
      <c r="I26" s="141" t="s">
        <v>59</v>
      </c>
      <c r="J26" s="139" t="s">
        <v>78</v>
      </c>
      <c r="K26" s="139" t="s">
        <v>79</v>
      </c>
    </row>
    <row r="27" spans="1:11" s="40" customFormat="1" ht="10.5" customHeight="1" x14ac:dyDescent="0.15">
      <c r="A27" s="73"/>
      <c r="B27" s="74" t="s">
        <v>17</v>
      </c>
      <c r="C27" s="354" t="s">
        <v>22</v>
      </c>
      <c r="D27" s="355"/>
      <c r="E27" s="356"/>
      <c r="F27" s="75" t="s">
        <v>28</v>
      </c>
      <c r="G27" s="75" t="s">
        <v>29</v>
      </c>
      <c r="H27" s="75" t="s">
        <v>30</v>
      </c>
      <c r="I27" s="75" t="s">
        <v>28</v>
      </c>
      <c r="J27" s="75" t="s">
        <v>29</v>
      </c>
      <c r="K27" s="75" t="s">
        <v>30</v>
      </c>
    </row>
    <row r="28" spans="1:11" x14ac:dyDescent="0.2">
      <c r="A28" s="57"/>
      <c r="B28" s="66" t="s">
        <v>77</v>
      </c>
      <c r="C28" s="331" t="s">
        <v>0</v>
      </c>
      <c r="D28" s="331"/>
      <c r="E28" s="332"/>
      <c r="F28" s="70">
        <v>0</v>
      </c>
      <c r="G28" s="70">
        <v>0</v>
      </c>
      <c r="H28" s="70">
        <v>0</v>
      </c>
      <c r="I28" s="70">
        <v>2675</v>
      </c>
      <c r="J28" s="70">
        <v>0</v>
      </c>
      <c r="K28" s="70">
        <v>0</v>
      </c>
    </row>
    <row r="29" spans="1:11" x14ac:dyDescent="0.2">
      <c r="A29" s="81"/>
      <c r="B29" s="67" t="s">
        <v>82</v>
      </c>
      <c r="C29" s="339" t="s">
        <v>1</v>
      </c>
      <c r="D29" s="339"/>
      <c r="E29" s="340"/>
      <c r="F29" s="87">
        <v>135894.926205</v>
      </c>
      <c r="G29" s="87">
        <v>67947.463102499998</v>
      </c>
      <c r="H29" s="88">
        <v>40010.328607249998</v>
      </c>
      <c r="I29" s="87">
        <v>269036.02745350002</v>
      </c>
      <c r="J29" s="87">
        <v>134518.01372675001</v>
      </c>
      <c r="K29" s="88">
        <v>1331.6837825</v>
      </c>
    </row>
    <row r="30" spans="1:11" x14ac:dyDescent="0.2">
      <c r="A30" s="57"/>
      <c r="B30" s="67" t="s">
        <v>83</v>
      </c>
      <c r="C30" s="331" t="s">
        <v>98</v>
      </c>
      <c r="D30" s="331"/>
      <c r="E30" s="332"/>
      <c r="F30" s="87">
        <v>0</v>
      </c>
      <c r="G30" s="87">
        <v>0</v>
      </c>
      <c r="H30" s="88">
        <v>0</v>
      </c>
      <c r="I30" s="87">
        <v>0</v>
      </c>
      <c r="J30" s="87">
        <v>0</v>
      </c>
      <c r="K30" s="88">
        <v>0</v>
      </c>
    </row>
    <row r="31" spans="1:11" x14ac:dyDescent="0.2">
      <c r="A31" s="81"/>
      <c r="B31" s="67" t="s">
        <v>84</v>
      </c>
      <c r="C31" s="331" t="s">
        <v>99</v>
      </c>
      <c r="D31" s="331"/>
      <c r="E31" s="332"/>
      <c r="F31" s="87">
        <v>4166.1134934000002</v>
      </c>
      <c r="G31" s="87">
        <v>833.22269868000012</v>
      </c>
      <c r="H31" s="87">
        <v>833.22269868000012</v>
      </c>
      <c r="I31" s="87">
        <v>31.533471800000001</v>
      </c>
      <c r="J31" s="87">
        <v>6.3066943600000007</v>
      </c>
      <c r="K31" s="87">
        <v>6.3066943600000007</v>
      </c>
    </row>
    <row r="32" spans="1:11" x14ac:dyDescent="0.2">
      <c r="A32" s="81"/>
      <c r="B32" s="68" t="s">
        <v>85</v>
      </c>
      <c r="C32" s="331" t="s">
        <v>4</v>
      </c>
      <c r="D32" s="331"/>
      <c r="E32" s="332"/>
      <c r="F32" s="87">
        <v>28.866493999999999</v>
      </c>
      <c r="G32" s="87">
        <v>10.103272899999999</v>
      </c>
      <c r="H32" s="88">
        <v>10.103272899999999</v>
      </c>
      <c r="I32" s="87">
        <v>28.360011</v>
      </c>
      <c r="J32" s="87">
        <v>9.926003849999999</v>
      </c>
      <c r="K32" s="88">
        <v>9.926003849999999</v>
      </c>
    </row>
    <row r="33" spans="1:11" x14ac:dyDescent="0.2">
      <c r="A33" s="81"/>
      <c r="B33" s="68" t="s">
        <v>86</v>
      </c>
      <c r="C33" s="331" t="s">
        <v>5</v>
      </c>
      <c r="D33" s="331"/>
      <c r="E33" s="332"/>
      <c r="F33" s="87">
        <v>0</v>
      </c>
      <c r="G33" s="87">
        <v>0</v>
      </c>
      <c r="H33" s="88">
        <v>0</v>
      </c>
      <c r="I33" s="87">
        <v>129.82544179999999</v>
      </c>
      <c r="J33" s="87">
        <v>129.82544179999999</v>
      </c>
      <c r="K33" s="88">
        <v>129.82544179999999</v>
      </c>
    </row>
    <row r="34" spans="1:11" x14ac:dyDescent="0.2">
      <c r="A34" s="81"/>
      <c r="B34" s="68" t="s">
        <v>87</v>
      </c>
      <c r="C34" s="331" t="s">
        <v>6</v>
      </c>
      <c r="D34" s="331"/>
      <c r="E34" s="332"/>
      <c r="F34" s="89">
        <v>1.5668150000000001</v>
      </c>
      <c r="G34" s="89">
        <v>0.78340750000000003</v>
      </c>
      <c r="H34" s="88">
        <v>0.78340750000000003</v>
      </c>
      <c r="I34" s="89">
        <v>100.42940900000001</v>
      </c>
      <c r="J34" s="89">
        <v>50.214704500000003</v>
      </c>
      <c r="K34" s="88">
        <v>50.214704500000003</v>
      </c>
    </row>
    <row r="35" spans="1:11" x14ac:dyDescent="0.2">
      <c r="A35" s="81"/>
      <c r="B35" s="68" t="s">
        <v>88</v>
      </c>
      <c r="C35" s="331" t="s">
        <v>7</v>
      </c>
      <c r="D35" s="331"/>
      <c r="E35" s="332"/>
      <c r="F35" s="87">
        <v>102132.1931512</v>
      </c>
      <c r="G35" s="87">
        <v>76599.144863399997</v>
      </c>
      <c r="H35" s="88">
        <v>62019.245690675001</v>
      </c>
      <c r="I35" s="87">
        <v>111669.38948000001</v>
      </c>
      <c r="J35" s="87">
        <v>83752.042110000009</v>
      </c>
      <c r="K35" s="88">
        <v>67044.131196075017</v>
      </c>
    </row>
    <row r="36" spans="1:11" x14ac:dyDescent="0.2">
      <c r="A36" s="81"/>
      <c r="B36" s="67" t="s">
        <v>89</v>
      </c>
      <c r="C36" s="331" t="s">
        <v>8</v>
      </c>
      <c r="D36" s="331"/>
      <c r="E36" s="332"/>
      <c r="F36" s="87">
        <v>304726.8521059</v>
      </c>
      <c r="G36" s="87">
        <v>304726.8521059</v>
      </c>
      <c r="H36" s="88">
        <v>266498.76431090001</v>
      </c>
      <c r="I36" s="87">
        <v>338093.33903759997</v>
      </c>
      <c r="J36" s="87">
        <v>338093.33903759997</v>
      </c>
      <c r="K36" s="88">
        <v>285765.15316559997</v>
      </c>
    </row>
    <row r="37" spans="1:11" x14ac:dyDescent="0.2">
      <c r="A37" s="81"/>
      <c r="B37" s="68" t="s">
        <v>90</v>
      </c>
      <c r="C37" s="331" t="s">
        <v>9</v>
      </c>
      <c r="D37" s="331"/>
      <c r="E37" s="332"/>
      <c r="F37" s="89">
        <v>6166.3659109999999</v>
      </c>
      <c r="G37" s="89">
        <v>9249.5488664999993</v>
      </c>
      <c r="H37" s="89">
        <v>9249.5488664999993</v>
      </c>
      <c r="I37" s="89">
        <v>36103.488407500001</v>
      </c>
      <c r="J37" s="89">
        <v>54155.232611250001</v>
      </c>
      <c r="K37" s="89">
        <v>54155.232611250001</v>
      </c>
    </row>
    <row r="38" spans="1:11" x14ac:dyDescent="0.2">
      <c r="A38" s="81"/>
      <c r="B38" s="333" t="s">
        <v>97</v>
      </c>
      <c r="C38" s="334"/>
      <c r="D38" s="334"/>
      <c r="E38" s="335"/>
      <c r="F38" s="148">
        <f>SUM(F28:F37)</f>
        <v>553116.8841754999</v>
      </c>
      <c r="G38" s="148">
        <f>SUM(G28:G37)</f>
        <v>459367.11831737997</v>
      </c>
      <c r="H38" s="148">
        <f>SUM(H28:H37)</f>
        <v>378621.99685440498</v>
      </c>
      <c r="I38" s="148">
        <f>SUM(I28:I37)</f>
        <v>757867.39271219994</v>
      </c>
      <c r="J38" s="148">
        <f t="shared" ref="J38:K38" si="1">SUM(J28:J37)</f>
        <v>610714.90033010999</v>
      </c>
      <c r="K38" s="148">
        <f t="shared" si="1"/>
        <v>408492.47359993501</v>
      </c>
    </row>
    <row r="41" spans="1:11" x14ac:dyDescent="0.2">
      <c r="A41" s="54" t="s">
        <v>93</v>
      </c>
      <c r="B41" s="319" t="s">
        <v>103</v>
      </c>
      <c r="C41" s="319"/>
      <c r="D41" s="319"/>
      <c r="E41" s="319"/>
      <c r="F41" s="319"/>
      <c r="G41" s="319"/>
      <c r="H41" s="319"/>
    </row>
    <row r="42" spans="1:11" x14ac:dyDescent="0.2">
      <c r="A42" s="54"/>
      <c r="B42" s="319"/>
      <c r="C42" s="319"/>
      <c r="D42" s="319"/>
      <c r="E42" s="319"/>
      <c r="F42" s="319"/>
      <c r="G42" s="319"/>
      <c r="H42" s="319"/>
    </row>
    <row r="43" spans="1:11" ht="14.45" customHeight="1" x14ac:dyDescent="0.2">
      <c r="A43" s="81"/>
      <c r="B43" s="341" t="s">
        <v>11</v>
      </c>
      <c r="C43" s="343" t="s">
        <v>19</v>
      </c>
      <c r="D43" s="344"/>
      <c r="E43" s="345"/>
      <c r="F43" s="320" t="s">
        <v>58</v>
      </c>
      <c r="G43" s="330"/>
      <c r="H43" s="330"/>
      <c r="I43" s="320" t="s">
        <v>23</v>
      </c>
      <c r="J43" s="330"/>
      <c r="K43" s="330"/>
    </row>
    <row r="44" spans="1:11" ht="33.75" x14ac:dyDescent="0.2">
      <c r="A44" s="56"/>
      <c r="B44" s="342"/>
      <c r="C44" s="346"/>
      <c r="D44" s="347"/>
      <c r="E44" s="348"/>
      <c r="F44" s="142" t="s">
        <v>59</v>
      </c>
      <c r="G44" s="140" t="s">
        <v>78</v>
      </c>
      <c r="H44" s="139" t="s">
        <v>79</v>
      </c>
      <c r="I44" s="142" t="s">
        <v>59</v>
      </c>
      <c r="J44" s="140" t="s">
        <v>78</v>
      </c>
      <c r="K44" s="139" t="s">
        <v>79</v>
      </c>
    </row>
    <row r="45" spans="1:11" x14ac:dyDescent="0.2">
      <c r="A45" s="57"/>
      <c r="B45" s="74" t="s">
        <v>17</v>
      </c>
      <c r="C45" s="354" t="s">
        <v>22</v>
      </c>
      <c r="D45" s="355"/>
      <c r="E45" s="356"/>
      <c r="F45" s="75" t="s">
        <v>28</v>
      </c>
      <c r="G45" s="75" t="s">
        <v>29</v>
      </c>
      <c r="H45" s="75" t="s">
        <v>30</v>
      </c>
      <c r="I45" s="75" t="s">
        <v>28</v>
      </c>
      <c r="J45" s="75" t="s">
        <v>29</v>
      </c>
      <c r="K45" s="75" t="s">
        <v>30</v>
      </c>
    </row>
    <row r="46" spans="1:11" x14ac:dyDescent="0.2">
      <c r="A46" s="57"/>
      <c r="B46" s="66" t="s">
        <v>77</v>
      </c>
      <c r="C46" s="331" t="s">
        <v>0</v>
      </c>
      <c r="D46" s="331"/>
      <c r="E46" s="332"/>
      <c r="F46" s="86">
        <v>290969.09999999998</v>
      </c>
      <c r="G46" s="86">
        <v>0</v>
      </c>
      <c r="H46" s="87">
        <v>0</v>
      </c>
      <c r="I46" s="78">
        <v>263405</v>
      </c>
      <c r="J46" s="78">
        <v>0</v>
      </c>
      <c r="K46" s="80">
        <v>0</v>
      </c>
    </row>
    <row r="47" spans="1:11" x14ac:dyDescent="0.2">
      <c r="A47" s="81"/>
      <c r="B47" s="67" t="s">
        <v>82</v>
      </c>
      <c r="C47" s="339" t="s">
        <v>1</v>
      </c>
      <c r="D47" s="339"/>
      <c r="E47" s="340"/>
      <c r="F47" s="87">
        <v>0</v>
      </c>
      <c r="G47" s="87">
        <v>0</v>
      </c>
      <c r="H47" s="88">
        <v>0</v>
      </c>
      <c r="I47" s="80">
        <v>0</v>
      </c>
      <c r="J47" s="80">
        <v>0</v>
      </c>
      <c r="K47" s="61">
        <v>0</v>
      </c>
    </row>
    <row r="48" spans="1:11" x14ac:dyDescent="0.2">
      <c r="A48" s="57"/>
      <c r="B48" s="67" t="s">
        <v>83</v>
      </c>
      <c r="C48" s="331" t="s">
        <v>98</v>
      </c>
      <c r="D48" s="331"/>
      <c r="E48" s="332"/>
      <c r="F48" s="87">
        <v>0</v>
      </c>
      <c r="G48" s="87">
        <v>0</v>
      </c>
      <c r="H48" s="88">
        <v>0</v>
      </c>
      <c r="I48" s="80">
        <v>0</v>
      </c>
      <c r="J48" s="80">
        <v>0</v>
      </c>
      <c r="K48" s="61">
        <v>0</v>
      </c>
    </row>
    <row r="49" spans="1:11" x14ac:dyDescent="0.2">
      <c r="A49" s="81"/>
      <c r="B49" s="67" t="s">
        <v>84</v>
      </c>
      <c r="C49" s="331" t="s">
        <v>99</v>
      </c>
      <c r="D49" s="331"/>
      <c r="E49" s="332"/>
      <c r="F49" s="87">
        <v>0</v>
      </c>
      <c r="G49" s="87">
        <v>0</v>
      </c>
      <c r="H49" s="87">
        <v>0</v>
      </c>
      <c r="I49" s="80">
        <v>0</v>
      </c>
      <c r="J49" s="80">
        <v>0</v>
      </c>
      <c r="K49" s="80">
        <v>0</v>
      </c>
    </row>
    <row r="50" spans="1:11" x14ac:dyDescent="0.2">
      <c r="A50" s="81"/>
      <c r="B50" s="68" t="s">
        <v>85</v>
      </c>
      <c r="C50" s="331" t="s">
        <v>7</v>
      </c>
      <c r="D50" s="331"/>
      <c r="E50" s="332"/>
      <c r="F50" s="87">
        <v>0</v>
      </c>
      <c r="G50" s="87">
        <v>0</v>
      </c>
      <c r="H50" s="88">
        <v>0</v>
      </c>
      <c r="I50" s="80">
        <v>0</v>
      </c>
      <c r="J50" s="80">
        <v>0</v>
      </c>
      <c r="K50" s="61">
        <v>0</v>
      </c>
    </row>
    <row r="51" spans="1:11" x14ac:dyDescent="0.2">
      <c r="A51" s="81"/>
      <c r="B51" s="67" t="s">
        <v>86</v>
      </c>
      <c r="C51" s="331" t="s">
        <v>8</v>
      </c>
      <c r="D51" s="331"/>
      <c r="E51" s="332"/>
      <c r="F51" s="87">
        <v>0</v>
      </c>
      <c r="G51" s="87">
        <v>0</v>
      </c>
      <c r="H51" s="88">
        <v>0</v>
      </c>
      <c r="I51" s="80">
        <v>0</v>
      </c>
      <c r="J51" s="80">
        <v>0</v>
      </c>
      <c r="K51" s="61">
        <v>0</v>
      </c>
    </row>
    <row r="52" spans="1:11" x14ac:dyDescent="0.2">
      <c r="A52" s="81"/>
      <c r="B52" s="149" t="s">
        <v>87</v>
      </c>
      <c r="C52" s="82" t="s">
        <v>102</v>
      </c>
      <c r="D52" s="82"/>
      <c r="E52" s="84"/>
      <c r="F52" s="87">
        <v>0</v>
      </c>
      <c r="G52" s="87">
        <v>0</v>
      </c>
      <c r="H52" s="88">
        <v>0</v>
      </c>
      <c r="I52" s="80">
        <v>0</v>
      </c>
      <c r="J52" s="80">
        <v>0</v>
      </c>
      <c r="K52" s="61">
        <v>0</v>
      </c>
    </row>
    <row r="53" spans="1:11" x14ac:dyDescent="0.2">
      <c r="A53" s="81"/>
      <c r="B53" s="333" t="s">
        <v>97</v>
      </c>
      <c r="C53" s="334"/>
      <c r="D53" s="334"/>
      <c r="E53" s="335"/>
      <c r="F53" s="148">
        <f>SUM(F46:F52)</f>
        <v>290969.09999999998</v>
      </c>
      <c r="G53" s="148">
        <f t="shared" ref="G53:K53" si="2">SUM(G46:G52)</f>
        <v>0</v>
      </c>
      <c r="H53" s="148">
        <f t="shared" si="2"/>
        <v>0</v>
      </c>
      <c r="I53" s="148">
        <f t="shared" si="2"/>
        <v>263405</v>
      </c>
      <c r="J53" s="148">
        <f t="shared" si="2"/>
        <v>0</v>
      </c>
      <c r="K53" s="148">
        <f t="shared" si="2"/>
        <v>0</v>
      </c>
    </row>
    <row r="56" spans="1:11" x14ac:dyDescent="0.2">
      <c r="A56" s="54" t="s">
        <v>94</v>
      </c>
      <c r="B56" s="319" t="s">
        <v>113</v>
      </c>
      <c r="C56" s="319"/>
      <c r="D56" s="319"/>
      <c r="E56" s="319"/>
      <c r="F56" s="319"/>
      <c r="G56" s="319"/>
      <c r="H56" s="319"/>
    </row>
    <row r="57" spans="1:11" x14ac:dyDescent="0.2">
      <c r="A57" s="54"/>
      <c r="B57" s="319"/>
      <c r="C57" s="319"/>
      <c r="D57" s="319"/>
      <c r="E57" s="319"/>
      <c r="F57" s="319"/>
      <c r="G57" s="319"/>
      <c r="H57" s="319"/>
    </row>
    <row r="58" spans="1:11" ht="14.45" customHeight="1" x14ac:dyDescent="0.2">
      <c r="A58" s="54"/>
      <c r="B58" s="307" t="s">
        <v>11</v>
      </c>
      <c r="C58" s="309" t="s">
        <v>104</v>
      </c>
      <c r="D58" s="310"/>
      <c r="E58" s="311"/>
      <c r="F58" s="320" t="s">
        <v>58</v>
      </c>
      <c r="G58" s="330"/>
      <c r="H58" s="330"/>
      <c r="I58" s="320" t="s">
        <v>23</v>
      </c>
      <c r="J58" s="330"/>
      <c r="K58" s="330"/>
    </row>
    <row r="59" spans="1:11" ht="33.75" x14ac:dyDescent="0.2">
      <c r="A59" s="54"/>
      <c r="B59" s="308"/>
      <c r="C59" s="312"/>
      <c r="D59" s="313"/>
      <c r="E59" s="314"/>
      <c r="F59" s="143" t="s">
        <v>105</v>
      </c>
      <c r="G59" s="144" t="s">
        <v>106</v>
      </c>
      <c r="H59" s="145" t="s">
        <v>26</v>
      </c>
      <c r="I59" s="143" t="s">
        <v>105</v>
      </c>
      <c r="J59" s="144" t="s">
        <v>106</v>
      </c>
      <c r="K59" s="145" t="s">
        <v>26</v>
      </c>
    </row>
    <row r="60" spans="1:11" x14ac:dyDescent="0.2">
      <c r="A60" s="54"/>
      <c r="B60" s="159" t="s">
        <v>17</v>
      </c>
      <c r="C60" s="360" t="s">
        <v>22</v>
      </c>
      <c r="D60" s="361"/>
      <c r="E60" s="362"/>
      <c r="F60" s="74" t="s">
        <v>28</v>
      </c>
      <c r="G60" s="160" t="s">
        <v>29</v>
      </c>
      <c r="H60" s="160" t="s">
        <v>30</v>
      </c>
      <c r="I60" s="161" t="s">
        <v>28</v>
      </c>
      <c r="J60" s="160" t="s">
        <v>29</v>
      </c>
      <c r="K60" s="160" t="s">
        <v>30</v>
      </c>
    </row>
    <row r="61" spans="1:11" x14ac:dyDescent="0.2">
      <c r="A61" s="81"/>
      <c r="B61" s="68" t="s">
        <v>77</v>
      </c>
      <c r="C61" s="321" t="s">
        <v>107</v>
      </c>
      <c r="D61" s="321"/>
      <c r="E61" s="322"/>
      <c r="F61" s="93">
        <v>0</v>
      </c>
      <c r="G61" s="93">
        <v>0</v>
      </c>
      <c r="H61" s="93">
        <v>0</v>
      </c>
      <c r="I61" s="93">
        <v>0</v>
      </c>
      <c r="J61" s="93">
        <v>0</v>
      </c>
      <c r="K61" s="93">
        <v>0</v>
      </c>
    </row>
    <row r="62" spans="1:11" x14ac:dyDescent="0.2">
      <c r="A62" s="81"/>
      <c r="B62" s="68"/>
      <c r="C62" s="94" t="s">
        <v>80</v>
      </c>
      <c r="D62" s="321" t="s">
        <v>108</v>
      </c>
      <c r="E62" s="322"/>
      <c r="F62" s="79">
        <v>0</v>
      </c>
      <c r="G62" s="79">
        <v>0</v>
      </c>
      <c r="H62" s="79">
        <v>0</v>
      </c>
      <c r="I62" s="79">
        <v>0</v>
      </c>
      <c r="J62" s="79">
        <v>0</v>
      </c>
      <c r="K62" s="79">
        <v>0</v>
      </c>
    </row>
    <row r="63" spans="1:11" x14ac:dyDescent="0.2">
      <c r="A63" s="81"/>
      <c r="B63" s="68"/>
      <c r="C63" s="94" t="s">
        <v>81</v>
      </c>
      <c r="D63" s="321" t="s">
        <v>109</v>
      </c>
      <c r="E63" s="322"/>
      <c r="F63" s="79">
        <v>0</v>
      </c>
      <c r="G63" s="79">
        <v>0</v>
      </c>
      <c r="H63" s="79">
        <v>0</v>
      </c>
      <c r="I63" s="79">
        <v>0</v>
      </c>
      <c r="J63" s="79">
        <v>0</v>
      </c>
      <c r="K63" s="79">
        <v>0</v>
      </c>
    </row>
    <row r="64" spans="1:11" x14ac:dyDescent="0.2">
      <c r="A64" s="81"/>
      <c r="B64" s="68"/>
      <c r="C64" s="94" t="s">
        <v>93</v>
      </c>
      <c r="D64" s="321" t="s">
        <v>110</v>
      </c>
      <c r="E64" s="322"/>
      <c r="F64" s="79">
        <v>0</v>
      </c>
      <c r="G64" s="79">
        <v>0</v>
      </c>
      <c r="H64" s="79">
        <v>0</v>
      </c>
      <c r="I64" s="79">
        <v>0</v>
      </c>
      <c r="J64" s="79">
        <v>0</v>
      </c>
      <c r="K64" s="79">
        <v>0</v>
      </c>
    </row>
    <row r="65" spans="1:11" x14ac:dyDescent="0.2">
      <c r="A65" s="81"/>
      <c r="B65" s="68"/>
      <c r="C65" s="94" t="s">
        <v>94</v>
      </c>
      <c r="D65" s="321" t="s">
        <v>111</v>
      </c>
      <c r="E65" s="322"/>
      <c r="F65" s="79">
        <v>0</v>
      </c>
      <c r="G65" s="79">
        <v>0</v>
      </c>
      <c r="H65" s="79">
        <v>0</v>
      </c>
      <c r="I65" s="79">
        <v>0</v>
      </c>
      <c r="J65" s="79">
        <v>0</v>
      </c>
      <c r="K65" s="79">
        <v>0</v>
      </c>
    </row>
    <row r="66" spans="1:11" x14ac:dyDescent="0.2">
      <c r="A66" s="81"/>
      <c r="B66" s="68" t="s">
        <v>82</v>
      </c>
      <c r="C66" s="321" t="s">
        <v>112</v>
      </c>
      <c r="D66" s="321"/>
      <c r="E66" s="322"/>
      <c r="F66" s="79">
        <v>0</v>
      </c>
      <c r="G66" s="79">
        <v>0</v>
      </c>
      <c r="H66" s="79"/>
      <c r="I66" s="79">
        <v>0</v>
      </c>
      <c r="J66" s="79">
        <v>0</v>
      </c>
      <c r="K66" s="79"/>
    </row>
    <row r="67" spans="1:11" x14ac:dyDescent="0.2">
      <c r="A67" s="96"/>
      <c r="B67" s="323" t="s">
        <v>97</v>
      </c>
      <c r="C67" s="324"/>
      <c r="D67" s="324"/>
      <c r="E67" s="325"/>
      <c r="F67" s="93">
        <f>SUM(F61:F66)</f>
        <v>0</v>
      </c>
      <c r="G67" s="93">
        <f t="shared" ref="G67:K67" si="3">SUM(G61:G66)</f>
        <v>0</v>
      </c>
      <c r="H67" s="93">
        <f t="shared" si="3"/>
        <v>0</v>
      </c>
      <c r="I67" s="93">
        <f t="shared" si="3"/>
        <v>0</v>
      </c>
      <c r="J67" s="93">
        <f t="shared" si="3"/>
        <v>0</v>
      </c>
      <c r="K67" s="93">
        <f t="shared" si="3"/>
        <v>0</v>
      </c>
    </row>
    <row r="70" spans="1:11" x14ac:dyDescent="0.2">
      <c r="A70" s="54" t="s">
        <v>95</v>
      </c>
      <c r="B70" s="319" t="s">
        <v>114</v>
      </c>
      <c r="C70" s="319"/>
      <c r="D70" s="319"/>
      <c r="E70" s="319"/>
      <c r="F70" s="319"/>
      <c r="G70" s="319"/>
      <c r="H70" s="319"/>
    </row>
    <row r="71" spans="1:11" x14ac:dyDescent="0.2">
      <c r="A71" s="54"/>
      <c r="B71" s="54"/>
      <c r="C71" s="54"/>
      <c r="D71" s="54"/>
      <c r="E71" s="54"/>
      <c r="F71" s="54"/>
      <c r="G71" s="54"/>
      <c r="H71" s="54"/>
    </row>
    <row r="72" spans="1:11" ht="14.45" customHeight="1" x14ac:dyDescent="0.2">
      <c r="A72" s="54"/>
      <c r="B72" s="307" t="s">
        <v>11</v>
      </c>
      <c r="C72" s="309" t="s">
        <v>104</v>
      </c>
      <c r="D72" s="310"/>
      <c r="E72" s="311"/>
      <c r="F72" s="320" t="s">
        <v>58</v>
      </c>
      <c r="G72" s="320"/>
      <c r="H72" s="320" t="s">
        <v>23</v>
      </c>
      <c r="I72" s="320"/>
      <c r="J72" s="54"/>
      <c r="K72" s="54"/>
    </row>
    <row r="73" spans="1:11" ht="33.75" x14ac:dyDescent="0.2">
      <c r="A73" s="54"/>
      <c r="B73" s="308"/>
      <c r="C73" s="312"/>
      <c r="D73" s="313"/>
      <c r="E73" s="314"/>
      <c r="F73" s="144" t="s">
        <v>106</v>
      </c>
      <c r="G73" s="139" t="s">
        <v>26</v>
      </c>
      <c r="H73" s="144" t="s">
        <v>106</v>
      </c>
      <c r="I73" s="139" t="s">
        <v>26</v>
      </c>
    </row>
    <row r="74" spans="1:11" x14ac:dyDescent="0.2">
      <c r="A74" s="55"/>
      <c r="B74" s="159" t="s">
        <v>17</v>
      </c>
      <c r="C74" s="358" t="s">
        <v>22</v>
      </c>
      <c r="D74" s="359"/>
      <c r="E74" s="359"/>
      <c r="F74" s="74" t="s">
        <v>28</v>
      </c>
      <c r="G74" s="74" t="s">
        <v>29</v>
      </c>
      <c r="H74" s="74" t="s">
        <v>28</v>
      </c>
      <c r="I74" s="74" t="s">
        <v>29</v>
      </c>
    </row>
    <row r="75" spans="1:11" x14ac:dyDescent="0.2">
      <c r="A75" s="81"/>
      <c r="B75" s="68" t="s">
        <v>77</v>
      </c>
      <c r="C75" s="315" t="s">
        <v>115</v>
      </c>
      <c r="D75" s="315"/>
      <c r="E75" s="315"/>
      <c r="F75" s="79">
        <v>0</v>
      </c>
      <c r="G75" s="79">
        <v>0</v>
      </c>
      <c r="H75" s="79">
        <v>0</v>
      </c>
      <c r="I75" s="79">
        <v>0</v>
      </c>
    </row>
    <row r="76" spans="1:11" x14ac:dyDescent="0.2">
      <c r="A76" s="81"/>
      <c r="B76" s="68" t="s">
        <v>82</v>
      </c>
      <c r="C76" s="315" t="s">
        <v>116</v>
      </c>
      <c r="D76" s="315"/>
      <c r="E76" s="315"/>
      <c r="F76" s="79">
        <v>0</v>
      </c>
      <c r="G76" s="79">
        <v>0</v>
      </c>
      <c r="H76" s="79">
        <v>0</v>
      </c>
      <c r="I76" s="79">
        <v>0</v>
      </c>
    </row>
    <row r="77" spans="1:11" x14ac:dyDescent="0.2">
      <c r="A77" s="81"/>
      <c r="B77" s="68" t="s">
        <v>83</v>
      </c>
      <c r="C77" s="315" t="s">
        <v>117</v>
      </c>
      <c r="D77" s="315"/>
      <c r="E77" s="315"/>
      <c r="F77" s="95"/>
      <c r="G77" s="79">
        <v>0</v>
      </c>
      <c r="H77" s="95"/>
      <c r="I77" s="79">
        <v>0</v>
      </c>
    </row>
    <row r="78" spans="1:11" x14ac:dyDescent="0.2">
      <c r="A78" s="81"/>
      <c r="B78" s="68" t="s">
        <v>84</v>
      </c>
      <c r="C78" s="315" t="s">
        <v>118</v>
      </c>
      <c r="D78" s="315"/>
      <c r="E78" s="315"/>
      <c r="F78" s="79">
        <v>0</v>
      </c>
      <c r="G78" s="79">
        <v>0</v>
      </c>
      <c r="H78" s="79">
        <v>0</v>
      </c>
      <c r="I78" s="79">
        <v>0</v>
      </c>
    </row>
    <row r="79" spans="1:11" x14ac:dyDescent="0.2">
      <c r="A79" s="81"/>
      <c r="B79" s="68" t="s">
        <v>85</v>
      </c>
      <c r="C79" s="315" t="s">
        <v>119</v>
      </c>
      <c r="D79" s="315"/>
      <c r="E79" s="315"/>
      <c r="F79" s="79">
        <v>0</v>
      </c>
      <c r="G79" s="79">
        <v>0</v>
      </c>
      <c r="H79" s="79">
        <v>0</v>
      </c>
      <c r="I79" s="79">
        <v>0</v>
      </c>
    </row>
    <row r="80" spans="1:11" x14ac:dyDescent="0.2">
      <c r="A80" s="81"/>
      <c r="B80" s="68" t="s">
        <v>86</v>
      </c>
      <c r="C80" s="315" t="s">
        <v>120</v>
      </c>
      <c r="D80" s="315"/>
      <c r="E80" s="315"/>
      <c r="F80" s="79">
        <v>0</v>
      </c>
      <c r="G80" s="79">
        <v>0</v>
      </c>
      <c r="H80" s="79">
        <v>0</v>
      </c>
      <c r="I80" s="79">
        <v>0</v>
      </c>
    </row>
    <row r="81" spans="1:9" x14ac:dyDescent="0.2">
      <c r="A81" s="81"/>
      <c r="B81" s="97" t="s">
        <v>87</v>
      </c>
      <c r="C81" s="316" t="s">
        <v>121</v>
      </c>
      <c r="D81" s="316"/>
      <c r="E81" s="316"/>
      <c r="F81" s="95"/>
      <c r="G81" s="79">
        <v>0</v>
      </c>
      <c r="H81" s="95"/>
      <c r="I81" s="79">
        <v>0</v>
      </c>
    </row>
    <row r="82" spans="1:9" x14ac:dyDescent="0.2">
      <c r="A82" s="81"/>
      <c r="B82" s="306" t="s">
        <v>97</v>
      </c>
      <c r="C82" s="306"/>
      <c r="D82" s="306"/>
      <c r="E82" s="306"/>
      <c r="F82" s="79">
        <f>SUM(F75,F76,F77:F78,F79,F80:F81)</f>
        <v>0</v>
      </c>
      <c r="G82" s="79">
        <f>SUM(G75,G76,G77:G78,G79,G80:G81)</f>
        <v>0</v>
      </c>
      <c r="H82" s="79">
        <f>SUM(H75,H76,H77:H78,H79,H80:H81)</f>
        <v>0</v>
      </c>
      <c r="I82" s="79">
        <f>SUM(I75,I76,I77:I78,I79,I80:I81)</f>
        <v>0</v>
      </c>
    </row>
    <row r="85" spans="1:9" x14ac:dyDescent="0.2">
      <c r="A85" s="54" t="s">
        <v>96</v>
      </c>
      <c r="B85" s="319" t="s">
        <v>122</v>
      </c>
      <c r="C85" s="319"/>
      <c r="D85" s="319"/>
      <c r="E85" s="319"/>
      <c r="F85" s="319"/>
      <c r="G85" s="319"/>
      <c r="H85" s="319"/>
    </row>
    <row r="86" spans="1:9" x14ac:dyDescent="0.2">
      <c r="A86" s="54"/>
      <c r="B86" s="302"/>
      <c r="C86" s="303"/>
      <c r="D86" s="303"/>
      <c r="E86" s="304"/>
      <c r="F86" s="146" t="s">
        <v>58</v>
      </c>
      <c r="G86" s="146" t="s">
        <v>23</v>
      </c>
      <c r="H86" s="54"/>
    </row>
    <row r="87" spans="1:9" x14ac:dyDescent="0.2">
      <c r="A87" s="81"/>
      <c r="B87" s="301" t="s">
        <v>123</v>
      </c>
      <c r="C87" s="301"/>
      <c r="D87" s="301"/>
      <c r="E87" s="301"/>
      <c r="F87" s="93">
        <f>H20+H38+H53+H67+G82</f>
        <v>10305530.303684553</v>
      </c>
      <c r="G87" s="93">
        <f>K20+K38+K53+K67+I82</f>
        <v>9983229.293981934</v>
      </c>
      <c r="H87" s="98"/>
    </row>
    <row r="88" spans="1:9" x14ac:dyDescent="0.2">
      <c r="A88" s="81"/>
      <c r="B88" s="301" t="s">
        <v>124</v>
      </c>
      <c r="C88" s="301"/>
      <c r="D88" s="301"/>
      <c r="E88" s="301"/>
      <c r="F88" s="99">
        <v>0</v>
      </c>
      <c r="G88" s="93">
        <v>0</v>
      </c>
      <c r="H88" s="98"/>
    </row>
    <row r="91" spans="1:9" x14ac:dyDescent="0.2">
      <c r="A91" s="3" t="s">
        <v>22</v>
      </c>
      <c r="B91" s="6" t="s">
        <v>125</v>
      </c>
    </row>
    <row r="92" spans="1:9" x14ac:dyDescent="0.2">
      <c r="A92" s="22"/>
      <c r="B92" s="8" t="s">
        <v>76</v>
      </c>
    </row>
  </sheetData>
  <mergeCells count="83">
    <mergeCell ref="I6:K6"/>
    <mergeCell ref="C13:E13"/>
    <mergeCell ref="B4:H4"/>
    <mergeCell ref="B5:H5"/>
    <mergeCell ref="B6:B7"/>
    <mergeCell ref="C6:E7"/>
    <mergeCell ref="F6:H6"/>
    <mergeCell ref="C8:E8"/>
    <mergeCell ref="C9:E9"/>
    <mergeCell ref="C10:E10"/>
    <mergeCell ref="C11:E11"/>
    <mergeCell ref="C12:E12"/>
    <mergeCell ref="I25:K25"/>
    <mergeCell ref="C14:E14"/>
    <mergeCell ref="C15:E15"/>
    <mergeCell ref="C16:E16"/>
    <mergeCell ref="C17:E17"/>
    <mergeCell ref="C18:E18"/>
    <mergeCell ref="C19:E19"/>
    <mergeCell ref="C32:E32"/>
    <mergeCell ref="B20:E20"/>
    <mergeCell ref="B23:H23"/>
    <mergeCell ref="B25:B26"/>
    <mergeCell ref="C25:E26"/>
    <mergeCell ref="F25:H25"/>
    <mergeCell ref="C27:E27"/>
    <mergeCell ref="C28:E28"/>
    <mergeCell ref="C29:E29"/>
    <mergeCell ref="C30:E30"/>
    <mergeCell ref="C31:E31"/>
    <mergeCell ref="I43:K43"/>
    <mergeCell ref="C33:E33"/>
    <mergeCell ref="C34:E34"/>
    <mergeCell ref="C35:E35"/>
    <mergeCell ref="C36:E36"/>
    <mergeCell ref="C37:E37"/>
    <mergeCell ref="B38:E38"/>
    <mergeCell ref="C50:E50"/>
    <mergeCell ref="B41:H41"/>
    <mergeCell ref="B42:H42"/>
    <mergeCell ref="B43:B44"/>
    <mergeCell ref="C43:E44"/>
    <mergeCell ref="F43:H43"/>
    <mergeCell ref="C45:E45"/>
    <mergeCell ref="C46:E46"/>
    <mergeCell ref="C47:E47"/>
    <mergeCell ref="C48:E48"/>
    <mergeCell ref="C49:E49"/>
    <mergeCell ref="D64:E64"/>
    <mergeCell ref="C51:E51"/>
    <mergeCell ref="B53:E53"/>
    <mergeCell ref="B56:H56"/>
    <mergeCell ref="B57:H57"/>
    <mergeCell ref="B58:B59"/>
    <mergeCell ref="C58:E59"/>
    <mergeCell ref="F58:H58"/>
    <mergeCell ref="I58:K58"/>
    <mergeCell ref="C60:E60"/>
    <mergeCell ref="C61:E61"/>
    <mergeCell ref="D62:E62"/>
    <mergeCell ref="D63:E63"/>
    <mergeCell ref="B67:E67"/>
    <mergeCell ref="B70:H70"/>
    <mergeCell ref="B72:B73"/>
    <mergeCell ref="C72:E73"/>
    <mergeCell ref="F72:G72"/>
    <mergeCell ref="H72:I72"/>
    <mergeCell ref="B88:E88"/>
    <mergeCell ref="J3:K3"/>
    <mergeCell ref="C80:E80"/>
    <mergeCell ref="C81:E81"/>
    <mergeCell ref="B82:E82"/>
    <mergeCell ref="B85:H85"/>
    <mergeCell ref="B86:E86"/>
    <mergeCell ref="B87:E87"/>
    <mergeCell ref="C74:E74"/>
    <mergeCell ref="C75:E75"/>
    <mergeCell ref="C76:E76"/>
    <mergeCell ref="C77:E77"/>
    <mergeCell ref="C78:E78"/>
    <mergeCell ref="C79:E79"/>
    <mergeCell ref="D65:E65"/>
    <mergeCell ref="C66:E66"/>
  </mergeCells>
  <dataValidations count="1">
    <dataValidation type="decimal" operator="greaterThanOrEqual" allowBlank="1" showInputMessage="1" showErrorMessage="1" promptTitle="Data Input" prompt="Enter value greater than or equal to zero" sqref="K49 H17:H18 H12 F10:G18 K46 I47:J52 I10:J18 H31 F35:G36 F29:G33 K31 I35:J36 I29:J33 H49 H46 F19:K19 K17:K18 K12 F47:G52">
      <formula1>0</formula1>
    </dataValidation>
  </dataValidations>
  <pageMargins left="0.7" right="0.7" top="0.75" bottom="0.75" header="0.3" footer="0.3"/>
  <ignoredErrors>
    <ignoredError sqref="B2 B8:B19 C8:K8 B27:B37 C27:K27 B45:B52 C45:K45 B60:B66 C60:K60 B74:B81 C74:I74 A91:B92" numberStoredAsText="1"/>
  </ignoredError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2"/>
  <sheetViews>
    <sheetView showGridLines="0" zoomScaleNormal="100" workbookViewId="0">
      <selection activeCell="F87" sqref="F87"/>
    </sheetView>
  </sheetViews>
  <sheetFormatPr defaultColWidth="8.7109375" defaultRowHeight="11.25" x14ac:dyDescent="0.2"/>
  <cols>
    <col min="1" max="1" width="4.140625" style="6" customWidth="1"/>
    <col min="2" max="2" width="4" style="65" customWidth="1"/>
    <col min="3" max="3" width="4.28515625" style="6" customWidth="1"/>
    <col min="4" max="4" width="3.85546875" style="6" customWidth="1"/>
    <col min="5" max="5" width="39.140625" style="6" customWidth="1"/>
    <col min="6" max="6" width="14.28515625" style="6" bestFit="1" customWidth="1"/>
    <col min="7" max="7" width="10.5703125" style="6" customWidth="1"/>
    <col min="8" max="8" width="10.42578125" style="6" customWidth="1"/>
    <col min="9" max="16384" width="8.7109375" style="6"/>
  </cols>
  <sheetData>
    <row r="1" spans="1:12" x14ac:dyDescent="0.2">
      <c r="B1" s="65" t="s">
        <v>129</v>
      </c>
    </row>
    <row r="2" spans="1:12" x14ac:dyDescent="0.2">
      <c r="B2" s="3" t="s">
        <v>17</v>
      </c>
      <c r="C2" s="6" t="s">
        <v>16</v>
      </c>
    </row>
    <row r="3" spans="1:12" ht="10.5" customHeight="1" x14ac:dyDescent="0.2">
      <c r="B3" s="3"/>
      <c r="J3" s="357" t="s">
        <v>57</v>
      </c>
      <c r="K3" s="357"/>
    </row>
    <row r="4" spans="1:12" x14ac:dyDescent="0.2">
      <c r="A4" s="53" t="s">
        <v>80</v>
      </c>
      <c r="B4" s="353" t="s">
        <v>100</v>
      </c>
      <c r="C4" s="353"/>
      <c r="D4" s="353"/>
      <c r="E4" s="353"/>
      <c r="F4" s="353"/>
      <c r="G4" s="353"/>
      <c r="H4" s="353"/>
    </row>
    <row r="5" spans="1:12" ht="10.5" customHeight="1" x14ac:dyDescent="0.2">
      <c r="A5" s="53"/>
      <c r="B5" s="349"/>
      <c r="C5" s="349"/>
      <c r="D5" s="349"/>
      <c r="E5" s="349"/>
      <c r="F5" s="349"/>
      <c r="G5" s="349"/>
      <c r="H5" s="349"/>
      <c r="K5" s="162"/>
      <c r="L5" s="162"/>
    </row>
    <row r="6" spans="1:12" ht="14.45" customHeight="1" x14ac:dyDescent="0.2">
      <c r="A6" s="235"/>
      <c r="B6" s="341" t="s">
        <v>11</v>
      </c>
      <c r="C6" s="343" t="s">
        <v>19</v>
      </c>
      <c r="D6" s="344"/>
      <c r="E6" s="345"/>
      <c r="F6" s="320" t="s">
        <v>247</v>
      </c>
      <c r="G6" s="330"/>
      <c r="H6" s="330"/>
      <c r="I6" s="320" t="s">
        <v>245</v>
      </c>
      <c r="J6" s="330"/>
      <c r="K6" s="330"/>
    </row>
    <row r="7" spans="1:12" ht="20.45" customHeight="1" x14ac:dyDescent="0.2">
      <c r="A7" s="56"/>
      <c r="B7" s="342"/>
      <c r="C7" s="346"/>
      <c r="D7" s="347"/>
      <c r="E7" s="348"/>
      <c r="F7" s="139" t="s">
        <v>59</v>
      </c>
      <c r="G7" s="140" t="s">
        <v>78</v>
      </c>
      <c r="H7" s="139" t="s">
        <v>79</v>
      </c>
      <c r="I7" s="139" t="s">
        <v>59</v>
      </c>
      <c r="J7" s="140" t="s">
        <v>78</v>
      </c>
      <c r="K7" s="139" t="s">
        <v>79</v>
      </c>
    </row>
    <row r="8" spans="1:12" s="40" customFormat="1" ht="10.5" customHeight="1" x14ac:dyDescent="0.15">
      <c r="A8" s="73"/>
      <c r="B8" s="74" t="s">
        <v>17</v>
      </c>
      <c r="C8" s="354" t="s">
        <v>22</v>
      </c>
      <c r="D8" s="355"/>
      <c r="E8" s="356"/>
      <c r="F8" s="75" t="s">
        <v>28</v>
      </c>
      <c r="G8" s="75" t="s">
        <v>29</v>
      </c>
      <c r="H8" s="75" t="s">
        <v>30</v>
      </c>
      <c r="I8" s="75" t="s">
        <v>28</v>
      </c>
      <c r="J8" s="75" t="s">
        <v>29</v>
      </c>
      <c r="K8" s="75" t="s">
        <v>30</v>
      </c>
    </row>
    <row r="9" spans="1:12" x14ac:dyDescent="0.2">
      <c r="A9" s="57"/>
      <c r="B9" s="66" t="s">
        <v>77</v>
      </c>
      <c r="C9" s="331" t="s">
        <v>0</v>
      </c>
      <c r="D9" s="331"/>
      <c r="E9" s="332"/>
      <c r="F9" s="70">
        <v>5103844.1384089999</v>
      </c>
      <c r="G9" s="70">
        <v>0</v>
      </c>
      <c r="H9" s="70">
        <v>0</v>
      </c>
      <c r="I9" s="70">
        <v>4127132.797032</v>
      </c>
      <c r="J9" s="70">
        <v>0</v>
      </c>
      <c r="K9" s="58">
        <v>0</v>
      </c>
    </row>
    <row r="10" spans="1:12" x14ac:dyDescent="0.2">
      <c r="A10" s="59"/>
      <c r="B10" s="67" t="s">
        <v>82</v>
      </c>
      <c r="C10" s="339" t="s">
        <v>1</v>
      </c>
      <c r="D10" s="339"/>
      <c r="E10" s="340"/>
      <c r="F10" s="71">
        <v>10789.5</v>
      </c>
      <c r="G10" s="71">
        <v>2157.9</v>
      </c>
      <c r="H10" s="88">
        <v>2157.9</v>
      </c>
      <c r="I10" s="71">
        <v>34401.284478000001</v>
      </c>
      <c r="J10" s="71">
        <v>7739.152239</v>
      </c>
      <c r="K10" s="61">
        <v>7739.152239</v>
      </c>
    </row>
    <row r="11" spans="1:12" x14ac:dyDescent="0.2">
      <c r="A11" s="57"/>
      <c r="B11" s="67" t="s">
        <v>83</v>
      </c>
      <c r="C11" s="331" t="s">
        <v>2</v>
      </c>
      <c r="D11" s="331"/>
      <c r="E11" s="332"/>
      <c r="F11" s="71">
        <v>0</v>
      </c>
      <c r="G11" s="71">
        <v>0</v>
      </c>
      <c r="H11" s="88">
        <v>0</v>
      </c>
      <c r="I11" s="71">
        <v>0</v>
      </c>
      <c r="J11" s="71">
        <v>0</v>
      </c>
      <c r="K11" s="61"/>
    </row>
    <row r="12" spans="1:12" x14ac:dyDescent="0.2">
      <c r="A12" s="57"/>
      <c r="B12" s="67" t="s">
        <v>84</v>
      </c>
      <c r="C12" s="331" t="s">
        <v>68</v>
      </c>
      <c r="D12" s="331"/>
      <c r="E12" s="332"/>
      <c r="F12" s="71">
        <v>3944375.4706059997</v>
      </c>
      <c r="G12" s="71">
        <v>817631.43942349998</v>
      </c>
      <c r="H12" s="239">
        <v>817631.43942349998</v>
      </c>
      <c r="I12" s="71">
        <v>2959452.6973510003</v>
      </c>
      <c r="J12" s="71">
        <v>623457.24367250002</v>
      </c>
      <c r="K12" s="62">
        <v>623457.24367250002</v>
      </c>
    </row>
    <row r="13" spans="1:12" x14ac:dyDescent="0.2">
      <c r="A13" s="57"/>
      <c r="B13" s="68" t="s">
        <v>85</v>
      </c>
      <c r="C13" s="331" t="s">
        <v>4</v>
      </c>
      <c r="D13" s="331"/>
      <c r="E13" s="332"/>
      <c r="F13" s="72">
        <v>596747.83774799993</v>
      </c>
      <c r="G13" s="72">
        <v>196191.6501043</v>
      </c>
      <c r="H13" s="88">
        <v>196191.6501043</v>
      </c>
      <c r="I13" s="72">
        <v>561463.357601</v>
      </c>
      <c r="J13" s="72">
        <v>184619.57612779998</v>
      </c>
      <c r="K13" s="61">
        <v>184619.57612779998</v>
      </c>
    </row>
    <row r="14" spans="1:12" x14ac:dyDescent="0.2">
      <c r="A14" s="57"/>
      <c r="B14" s="68" t="s">
        <v>86</v>
      </c>
      <c r="C14" s="331" t="s">
        <v>5</v>
      </c>
      <c r="D14" s="331"/>
      <c r="E14" s="332"/>
      <c r="F14" s="72">
        <v>150930.65102399999</v>
      </c>
      <c r="G14" s="72">
        <v>150930.65102399999</v>
      </c>
      <c r="H14" s="88">
        <v>150930.65102399999</v>
      </c>
      <c r="I14" s="72">
        <v>118689.607485</v>
      </c>
      <c r="J14" s="72">
        <v>118689.607485</v>
      </c>
      <c r="K14" s="61">
        <v>118689.607485</v>
      </c>
    </row>
    <row r="15" spans="1:12" x14ac:dyDescent="0.2">
      <c r="A15" s="57"/>
      <c r="B15" s="68" t="s">
        <v>87</v>
      </c>
      <c r="C15" s="331" t="s">
        <v>6</v>
      </c>
      <c r="D15" s="331"/>
      <c r="E15" s="332"/>
      <c r="F15" s="72">
        <v>11309754.615403</v>
      </c>
      <c r="G15" s="72">
        <v>5654877.3077015001</v>
      </c>
      <c r="H15" s="88">
        <v>5652606.220528</v>
      </c>
      <c r="I15" s="72">
        <v>11336115.629386</v>
      </c>
      <c r="J15" s="72">
        <v>5668057.8146930002</v>
      </c>
      <c r="K15" s="61">
        <v>5666222.3241030006</v>
      </c>
    </row>
    <row r="16" spans="1:12" x14ac:dyDescent="0.2">
      <c r="A16" s="57"/>
      <c r="B16" s="68" t="s">
        <v>88</v>
      </c>
      <c r="C16" s="331" t="s">
        <v>7</v>
      </c>
      <c r="D16" s="331"/>
      <c r="E16" s="332"/>
      <c r="F16" s="72">
        <v>979668.52832100005</v>
      </c>
      <c r="G16" s="72">
        <v>734751.39624075009</v>
      </c>
      <c r="H16" s="88">
        <v>711480.05906005006</v>
      </c>
      <c r="I16" s="72">
        <v>928462.76902199991</v>
      </c>
      <c r="J16" s="72">
        <v>696347.0767664999</v>
      </c>
      <c r="K16" s="61">
        <v>671233.90518060001</v>
      </c>
    </row>
    <row r="17" spans="1:11" x14ac:dyDescent="0.2">
      <c r="A17" s="57"/>
      <c r="B17" s="69" t="s">
        <v>89</v>
      </c>
      <c r="C17" s="331" t="s">
        <v>8</v>
      </c>
      <c r="D17" s="331"/>
      <c r="E17" s="332"/>
      <c r="F17" s="71">
        <v>4880008.3962340001</v>
      </c>
      <c r="G17" s="71">
        <v>4450448.969234</v>
      </c>
      <c r="H17" s="71">
        <v>4428323.7353880005</v>
      </c>
      <c r="I17" s="71">
        <v>4276410.9005279997</v>
      </c>
      <c r="J17" s="71">
        <v>4189785.6035279999</v>
      </c>
      <c r="K17" s="60">
        <v>4163945.8758420004</v>
      </c>
    </row>
    <row r="18" spans="1:11" x14ac:dyDescent="0.2">
      <c r="A18" s="57"/>
      <c r="B18" s="68" t="s">
        <v>90</v>
      </c>
      <c r="C18" s="331" t="s">
        <v>9</v>
      </c>
      <c r="D18" s="331"/>
      <c r="E18" s="332"/>
      <c r="F18" s="71">
        <v>227974.98849199997</v>
      </c>
      <c r="G18" s="71">
        <v>330314.51722799998</v>
      </c>
      <c r="H18" s="71">
        <v>330200.08333439991</v>
      </c>
      <c r="I18" s="71">
        <v>243376.31171200002</v>
      </c>
      <c r="J18" s="71">
        <v>355710.92219750001</v>
      </c>
      <c r="K18" s="60">
        <v>355303.93085050001</v>
      </c>
    </row>
    <row r="19" spans="1:11" x14ac:dyDescent="0.2">
      <c r="A19" s="57"/>
      <c r="B19" s="236" t="s">
        <v>91</v>
      </c>
      <c r="C19" s="321" t="s">
        <v>10</v>
      </c>
      <c r="D19" s="321"/>
      <c r="E19" s="322"/>
      <c r="F19" s="72">
        <v>2366980.4686160004</v>
      </c>
      <c r="G19" s="72">
        <v>0</v>
      </c>
      <c r="H19" s="240">
        <v>1843396.6704620002</v>
      </c>
      <c r="I19" s="72">
        <v>2331520.313999</v>
      </c>
      <c r="J19" s="72">
        <v>0</v>
      </c>
      <c r="K19" s="64">
        <v>1795887.85901</v>
      </c>
    </row>
    <row r="20" spans="1:11" x14ac:dyDescent="0.2">
      <c r="A20" s="57"/>
      <c r="B20" s="333" t="s">
        <v>97</v>
      </c>
      <c r="C20" s="334"/>
      <c r="D20" s="334"/>
      <c r="E20" s="335"/>
      <c r="F20" s="147">
        <f t="shared" ref="F20:K20" si="0">SUM(F9:F19)</f>
        <v>29571074.594853003</v>
      </c>
      <c r="G20" s="147">
        <f t="shared" si="0"/>
        <v>12337303.830956049</v>
      </c>
      <c r="H20" s="147">
        <f t="shared" si="0"/>
        <v>14132918.409324251</v>
      </c>
      <c r="I20" s="147">
        <f t="shared" si="0"/>
        <v>26917025.668593999</v>
      </c>
      <c r="J20" s="147">
        <f t="shared" si="0"/>
        <v>11844406.9967093</v>
      </c>
      <c r="K20" s="147">
        <f t="shared" si="0"/>
        <v>13587099.4745104</v>
      </c>
    </row>
    <row r="21" spans="1:11" x14ac:dyDescent="0.2">
      <c r="F21" s="184"/>
      <c r="G21" s="184"/>
      <c r="H21" s="184"/>
    </row>
    <row r="23" spans="1:11" x14ac:dyDescent="0.2">
      <c r="A23" s="53" t="s">
        <v>81</v>
      </c>
      <c r="B23" s="349" t="s">
        <v>101</v>
      </c>
      <c r="C23" s="349"/>
      <c r="D23" s="349"/>
      <c r="E23" s="349"/>
      <c r="F23" s="349"/>
      <c r="G23" s="349"/>
      <c r="H23" s="349"/>
    </row>
    <row r="24" spans="1:11" x14ac:dyDescent="0.2">
      <c r="A24" s="53"/>
      <c r="B24" s="233"/>
      <c r="C24" s="233"/>
      <c r="D24" s="233"/>
      <c r="E24" s="233"/>
      <c r="F24" s="233"/>
      <c r="G24" s="233"/>
      <c r="H24" s="233"/>
    </row>
    <row r="25" spans="1:11" ht="14.45" customHeight="1" x14ac:dyDescent="0.2">
      <c r="A25" s="76"/>
      <c r="B25" s="341" t="s">
        <v>11</v>
      </c>
      <c r="C25" s="343" t="s">
        <v>19</v>
      </c>
      <c r="D25" s="344"/>
      <c r="E25" s="345"/>
      <c r="F25" s="320" t="s">
        <v>247</v>
      </c>
      <c r="G25" s="330"/>
      <c r="H25" s="330"/>
      <c r="I25" s="320" t="s">
        <v>245</v>
      </c>
      <c r="J25" s="330"/>
      <c r="K25" s="330"/>
    </row>
    <row r="26" spans="1:11" ht="33.75" x14ac:dyDescent="0.2">
      <c r="A26" s="57"/>
      <c r="B26" s="342"/>
      <c r="C26" s="346"/>
      <c r="D26" s="347"/>
      <c r="E26" s="348"/>
      <c r="F26" s="141" t="s">
        <v>59</v>
      </c>
      <c r="G26" s="139" t="s">
        <v>78</v>
      </c>
      <c r="H26" s="139" t="s">
        <v>79</v>
      </c>
      <c r="I26" s="142" t="s">
        <v>59</v>
      </c>
      <c r="J26" s="139" t="s">
        <v>78</v>
      </c>
      <c r="K26" s="139" t="s">
        <v>79</v>
      </c>
    </row>
    <row r="27" spans="1:11" s="40" customFormat="1" ht="10.5" customHeight="1" x14ac:dyDescent="0.15">
      <c r="A27" s="73"/>
      <c r="B27" s="74" t="s">
        <v>17</v>
      </c>
      <c r="C27" s="354" t="s">
        <v>22</v>
      </c>
      <c r="D27" s="355"/>
      <c r="E27" s="356"/>
      <c r="F27" s="75" t="s">
        <v>28</v>
      </c>
      <c r="G27" s="75" t="s">
        <v>29</v>
      </c>
      <c r="H27" s="75" t="s">
        <v>30</v>
      </c>
      <c r="I27" s="75" t="s">
        <v>28</v>
      </c>
      <c r="J27" s="75" t="s">
        <v>29</v>
      </c>
      <c r="K27" s="75" t="s">
        <v>30</v>
      </c>
    </row>
    <row r="28" spans="1:11" x14ac:dyDescent="0.2">
      <c r="A28" s="57"/>
      <c r="B28" s="66" t="s">
        <v>77</v>
      </c>
      <c r="C28" s="331" t="s">
        <v>0</v>
      </c>
      <c r="D28" s="331"/>
      <c r="E28" s="332"/>
      <c r="F28" s="70">
        <v>23850.906921200003</v>
      </c>
      <c r="G28" s="70">
        <v>0</v>
      </c>
      <c r="H28" s="70">
        <v>0</v>
      </c>
      <c r="I28" s="70">
        <v>20191.167868000004</v>
      </c>
      <c r="J28" s="70">
        <v>0</v>
      </c>
      <c r="K28" s="70">
        <v>0</v>
      </c>
    </row>
    <row r="29" spans="1:11" x14ac:dyDescent="0.2">
      <c r="A29" s="81"/>
      <c r="B29" s="67" t="s">
        <v>82</v>
      </c>
      <c r="C29" s="339" t="s">
        <v>1</v>
      </c>
      <c r="D29" s="339"/>
      <c r="E29" s="340"/>
      <c r="F29" s="87">
        <v>2447.8964799999999</v>
      </c>
      <c r="G29" s="87">
        <v>1223.9482399999999</v>
      </c>
      <c r="H29" s="88">
        <v>1223.9482399999999</v>
      </c>
      <c r="I29" s="87">
        <v>1486.3535344000002</v>
      </c>
      <c r="J29" s="87">
        <v>743.17676720000009</v>
      </c>
      <c r="K29" s="88">
        <v>743.17676720000009</v>
      </c>
    </row>
    <row r="30" spans="1:11" x14ac:dyDescent="0.2">
      <c r="A30" s="57"/>
      <c r="B30" s="67" t="s">
        <v>83</v>
      </c>
      <c r="C30" s="331" t="s">
        <v>98</v>
      </c>
      <c r="D30" s="331"/>
      <c r="E30" s="332"/>
      <c r="F30" s="87">
        <v>0</v>
      </c>
      <c r="G30" s="87">
        <v>0</v>
      </c>
      <c r="H30" s="88">
        <v>0</v>
      </c>
      <c r="I30" s="87">
        <v>0</v>
      </c>
      <c r="J30" s="87">
        <v>0</v>
      </c>
      <c r="K30" s="88">
        <v>0</v>
      </c>
    </row>
    <row r="31" spans="1:11" x14ac:dyDescent="0.2">
      <c r="A31" s="81"/>
      <c r="B31" s="67" t="s">
        <v>84</v>
      </c>
      <c r="C31" s="331" t="s">
        <v>99</v>
      </c>
      <c r="D31" s="331"/>
      <c r="E31" s="332"/>
      <c r="F31" s="87">
        <v>0</v>
      </c>
      <c r="G31" s="87">
        <v>0</v>
      </c>
      <c r="H31" s="87">
        <v>0</v>
      </c>
      <c r="I31" s="87">
        <v>0</v>
      </c>
      <c r="J31" s="87">
        <v>0</v>
      </c>
      <c r="K31" s="87">
        <v>0</v>
      </c>
    </row>
    <row r="32" spans="1:11" x14ac:dyDescent="0.2">
      <c r="A32" s="81"/>
      <c r="B32" s="68" t="s">
        <v>85</v>
      </c>
      <c r="C32" s="331" t="s">
        <v>4</v>
      </c>
      <c r="D32" s="331"/>
      <c r="E32" s="332"/>
      <c r="F32" s="87">
        <v>0</v>
      </c>
      <c r="G32" s="87">
        <v>0</v>
      </c>
      <c r="H32" s="87">
        <v>0</v>
      </c>
      <c r="I32" s="87">
        <v>0</v>
      </c>
      <c r="J32" s="87">
        <v>0</v>
      </c>
      <c r="K32" s="88">
        <v>0</v>
      </c>
    </row>
    <row r="33" spans="1:11" x14ac:dyDescent="0.2">
      <c r="A33" s="81"/>
      <c r="B33" s="68" t="s">
        <v>86</v>
      </c>
      <c r="C33" s="331" t="s">
        <v>5</v>
      </c>
      <c r="D33" s="331"/>
      <c r="E33" s="332"/>
      <c r="F33" s="87">
        <v>0</v>
      </c>
      <c r="G33" s="87">
        <v>0</v>
      </c>
      <c r="H33" s="87">
        <v>0</v>
      </c>
      <c r="I33" s="87">
        <v>0</v>
      </c>
      <c r="J33" s="87">
        <v>0</v>
      </c>
      <c r="K33" s="88">
        <v>0</v>
      </c>
    </row>
    <row r="34" spans="1:11" x14ac:dyDescent="0.2">
      <c r="A34" s="81"/>
      <c r="B34" s="68" t="s">
        <v>87</v>
      </c>
      <c r="C34" s="331" t="s">
        <v>6</v>
      </c>
      <c r="D34" s="331"/>
      <c r="E34" s="332"/>
      <c r="F34" s="89">
        <v>0</v>
      </c>
      <c r="G34" s="89">
        <v>0</v>
      </c>
      <c r="H34" s="89">
        <v>0</v>
      </c>
      <c r="I34" s="89">
        <v>0</v>
      </c>
      <c r="J34" s="89">
        <v>0</v>
      </c>
      <c r="K34" s="88">
        <v>0</v>
      </c>
    </row>
    <row r="35" spans="1:11" x14ac:dyDescent="0.2">
      <c r="A35" s="81"/>
      <c r="B35" s="68" t="s">
        <v>88</v>
      </c>
      <c r="C35" s="331" t="s">
        <v>7</v>
      </c>
      <c r="D35" s="331"/>
      <c r="E35" s="332"/>
      <c r="F35" s="87">
        <v>58281.271091200004</v>
      </c>
      <c r="G35" s="87">
        <v>43710.953318400003</v>
      </c>
      <c r="H35" s="87">
        <v>34066.348518525003</v>
      </c>
      <c r="I35" s="87">
        <v>45777.9694733</v>
      </c>
      <c r="J35" s="87">
        <v>34333.477104974998</v>
      </c>
      <c r="K35" s="88">
        <v>27372.951390975002</v>
      </c>
    </row>
    <row r="36" spans="1:11" x14ac:dyDescent="0.2">
      <c r="A36" s="81"/>
      <c r="B36" s="67" t="s">
        <v>89</v>
      </c>
      <c r="C36" s="331" t="s">
        <v>8</v>
      </c>
      <c r="D36" s="331"/>
      <c r="E36" s="332"/>
      <c r="F36" s="87">
        <v>169664.0326717</v>
      </c>
      <c r="G36" s="87">
        <v>169664.0326717</v>
      </c>
      <c r="H36" s="87">
        <v>159700.52636545</v>
      </c>
      <c r="I36" s="87">
        <v>171304.2529244</v>
      </c>
      <c r="J36" s="87">
        <v>171304.2529244</v>
      </c>
      <c r="K36" s="88">
        <v>161280.28287315002</v>
      </c>
    </row>
    <row r="37" spans="1:11" x14ac:dyDescent="0.2">
      <c r="A37" s="81"/>
      <c r="B37" s="68" t="s">
        <v>90</v>
      </c>
      <c r="C37" s="331" t="s">
        <v>9</v>
      </c>
      <c r="D37" s="331"/>
      <c r="E37" s="332"/>
      <c r="F37" s="89">
        <v>2511.4489509999999</v>
      </c>
      <c r="G37" s="89">
        <v>3767.1734264999996</v>
      </c>
      <c r="H37" s="89">
        <v>3767.1734264999996</v>
      </c>
      <c r="I37" s="89">
        <v>5276.782588</v>
      </c>
      <c r="J37" s="89">
        <v>7915.173882</v>
      </c>
      <c r="K37" s="89">
        <v>7915.173882</v>
      </c>
    </row>
    <row r="38" spans="1:11" x14ac:dyDescent="0.2">
      <c r="A38" s="81"/>
      <c r="B38" s="333" t="s">
        <v>97</v>
      </c>
      <c r="C38" s="334"/>
      <c r="D38" s="334"/>
      <c r="E38" s="335"/>
      <c r="F38" s="148">
        <f>SUM(F28:F37)</f>
        <v>256755.55611509999</v>
      </c>
      <c r="G38" s="148">
        <f>SUM(G28:G37)</f>
        <v>218366.10765660001</v>
      </c>
      <c r="H38" s="148">
        <f>SUM(H28:H37)</f>
        <v>198757.99655047501</v>
      </c>
      <c r="I38" s="148">
        <f>SUM(I28:I37)</f>
        <v>244036.5263881</v>
      </c>
      <c r="J38" s="148">
        <f t="shared" ref="J38:K38" si="1">SUM(J28:J37)</f>
        <v>214296.080678575</v>
      </c>
      <c r="K38" s="148">
        <f t="shared" si="1"/>
        <v>197311.58491332503</v>
      </c>
    </row>
    <row r="39" spans="1:11" x14ac:dyDescent="0.2">
      <c r="F39" s="184"/>
      <c r="G39" s="184"/>
      <c r="H39" s="184"/>
    </row>
    <row r="41" spans="1:11" x14ac:dyDescent="0.2">
      <c r="A41" s="235" t="s">
        <v>93</v>
      </c>
      <c r="B41" s="319" t="s">
        <v>103</v>
      </c>
      <c r="C41" s="319"/>
      <c r="D41" s="319"/>
      <c r="E41" s="319"/>
      <c r="F41" s="319"/>
      <c r="G41" s="319"/>
      <c r="H41" s="319"/>
    </row>
    <row r="42" spans="1:11" x14ac:dyDescent="0.2">
      <c r="A42" s="235"/>
      <c r="B42" s="319"/>
      <c r="C42" s="319"/>
      <c r="D42" s="319"/>
      <c r="E42" s="319"/>
      <c r="F42" s="319"/>
      <c r="G42" s="319"/>
      <c r="H42" s="319"/>
    </row>
    <row r="43" spans="1:11" ht="14.45" customHeight="1" x14ac:dyDescent="0.2">
      <c r="A43" s="81"/>
      <c r="B43" s="341" t="s">
        <v>11</v>
      </c>
      <c r="C43" s="343" t="s">
        <v>19</v>
      </c>
      <c r="D43" s="344"/>
      <c r="E43" s="345"/>
      <c r="F43" s="320" t="s">
        <v>247</v>
      </c>
      <c r="G43" s="330"/>
      <c r="H43" s="330"/>
      <c r="I43" s="320" t="s">
        <v>245</v>
      </c>
      <c r="J43" s="330"/>
      <c r="K43" s="330"/>
    </row>
    <row r="44" spans="1:11" ht="33.75" x14ac:dyDescent="0.2">
      <c r="A44" s="56"/>
      <c r="B44" s="342"/>
      <c r="C44" s="346"/>
      <c r="D44" s="347"/>
      <c r="E44" s="348"/>
      <c r="F44" s="142" t="s">
        <v>59</v>
      </c>
      <c r="G44" s="140" t="s">
        <v>78</v>
      </c>
      <c r="H44" s="139" t="s">
        <v>79</v>
      </c>
      <c r="I44" s="142" t="s">
        <v>59</v>
      </c>
      <c r="J44" s="140" t="s">
        <v>78</v>
      </c>
      <c r="K44" s="139" t="s">
        <v>79</v>
      </c>
    </row>
    <row r="45" spans="1:11" x14ac:dyDescent="0.2">
      <c r="A45" s="57"/>
      <c r="B45" s="74" t="s">
        <v>17</v>
      </c>
      <c r="C45" s="354" t="s">
        <v>22</v>
      </c>
      <c r="D45" s="355"/>
      <c r="E45" s="356"/>
      <c r="F45" s="75" t="s">
        <v>28</v>
      </c>
      <c r="G45" s="75" t="s">
        <v>29</v>
      </c>
      <c r="H45" s="75" t="s">
        <v>30</v>
      </c>
      <c r="I45" s="75" t="s">
        <v>28</v>
      </c>
      <c r="J45" s="75" t="s">
        <v>29</v>
      </c>
      <c r="K45" s="75" t="s">
        <v>30</v>
      </c>
    </row>
    <row r="46" spans="1:11" x14ac:dyDescent="0.2">
      <c r="A46" s="57"/>
      <c r="B46" s="66" t="s">
        <v>77</v>
      </c>
      <c r="C46" s="331" t="s">
        <v>0</v>
      </c>
      <c r="D46" s="331"/>
      <c r="E46" s="332"/>
      <c r="F46" s="86">
        <v>615949.23628700001</v>
      </c>
      <c r="G46" s="86">
        <v>0</v>
      </c>
      <c r="H46" s="87">
        <v>0</v>
      </c>
      <c r="I46" s="86">
        <v>527192.259968</v>
      </c>
      <c r="J46" s="86">
        <v>0</v>
      </c>
      <c r="K46" s="87">
        <v>0</v>
      </c>
    </row>
    <row r="47" spans="1:11" x14ac:dyDescent="0.2">
      <c r="A47" s="81"/>
      <c r="B47" s="67" t="s">
        <v>82</v>
      </c>
      <c r="C47" s="339" t="s">
        <v>1</v>
      </c>
      <c r="D47" s="339"/>
      <c r="E47" s="340"/>
      <c r="F47" s="87">
        <v>0</v>
      </c>
      <c r="G47" s="87">
        <v>0</v>
      </c>
      <c r="H47" s="88">
        <v>0</v>
      </c>
      <c r="I47" s="87">
        <v>0</v>
      </c>
      <c r="J47" s="87">
        <v>0</v>
      </c>
      <c r="K47" s="88">
        <v>0</v>
      </c>
    </row>
    <row r="48" spans="1:11" x14ac:dyDescent="0.2">
      <c r="A48" s="57"/>
      <c r="B48" s="67" t="s">
        <v>83</v>
      </c>
      <c r="C48" s="331" t="s">
        <v>98</v>
      </c>
      <c r="D48" s="331"/>
      <c r="E48" s="332"/>
      <c r="F48" s="87">
        <v>0</v>
      </c>
      <c r="G48" s="87">
        <v>0</v>
      </c>
      <c r="H48" s="88">
        <v>0</v>
      </c>
      <c r="I48" s="87">
        <v>0</v>
      </c>
      <c r="J48" s="87">
        <v>0</v>
      </c>
      <c r="K48" s="88">
        <v>0</v>
      </c>
    </row>
    <row r="49" spans="1:11" x14ac:dyDescent="0.2">
      <c r="A49" s="81"/>
      <c r="B49" s="67" t="s">
        <v>84</v>
      </c>
      <c r="C49" s="331" t="s">
        <v>99</v>
      </c>
      <c r="D49" s="331"/>
      <c r="E49" s="332"/>
      <c r="F49" s="87">
        <v>0</v>
      </c>
      <c r="G49" s="87">
        <v>0</v>
      </c>
      <c r="H49" s="87">
        <v>0</v>
      </c>
      <c r="I49" s="87">
        <v>0</v>
      </c>
      <c r="J49" s="87">
        <v>0</v>
      </c>
      <c r="K49" s="87">
        <v>0</v>
      </c>
    </row>
    <row r="50" spans="1:11" x14ac:dyDescent="0.2">
      <c r="A50" s="81"/>
      <c r="B50" s="68" t="s">
        <v>85</v>
      </c>
      <c r="C50" s="331" t="s">
        <v>7</v>
      </c>
      <c r="D50" s="331"/>
      <c r="E50" s="332"/>
      <c r="F50" s="87">
        <v>0</v>
      </c>
      <c r="G50" s="87">
        <v>0</v>
      </c>
      <c r="H50" s="88">
        <v>0</v>
      </c>
      <c r="I50" s="87">
        <v>0</v>
      </c>
      <c r="J50" s="87">
        <v>0</v>
      </c>
      <c r="K50" s="88">
        <v>0</v>
      </c>
    </row>
    <row r="51" spans="1:11" x14ac:dyDescent="0.2">
      <c r="A51" s="81"/>
      <c r="B51" s="67" t="s">
        <v>86</v>
      </c>
      <c r="C51" s="331" t="s">
        <v>8</v>
      </c>
      <c r="D51" s="331"/>
      <c r="E51" s="332"/>
      <c r="F51" s="87">
        <v>0</v>
      </c>
      <c r="G51" s="87">
        <v>0</v>
      </c>
      <c r="H51" s="88">
        <v>0</v>
      </c>
      <c r="I51" s="87">
        <v>0</v>
      </c>
      <c r="J51" s="87">
        <v>0</v>
      </c>
      <c r="K51" s="88">
        <v>0</v>
      </c>
    </row>
    <row r="52" spans="1:11" x14ac:dyDescent="0.2">
      <c r="A52" s="81"/>
      <c r="B52" s="149" t="s">
        <v>87</v>
      </c>
      <c r="C52" s="229" t="s">
        <v>102</v>
      </c>
      <c r="D52" s="229"/>
      <c r="E52" s="230"/>
      <c r="F52" s="87">
        <v>0</v>
      </c>
      <c r="G52" s="87">
        <v>0</v>
      </c>
      <c r="H52" s="88">
        <v>0</v>
      </c>
      <c r="I52" s="87">
        <v>0</v>
      </c>
      <c r="J52" s="87">
        <v>0</v>
      </c>
      <c r="K52" s="88">
        <v>0</v>
      </c>
    </row>
    <row r="53" spans="1:11" x14ac:dyDescent="0.2">
      <c r="A53" s="81"/>
      <c r="B53" s="333" t="s">
        <v>97</v>
      </c>
      <c r="C53" s="334"/>
      <c r="D53" s="334"/>
      <c r="E53" s="335"/>
      <c r="F53" s="148">
        <f>SUM(F46:F52)</f>
        <v>615949.23628700001</v>
      </c>
      <c r="G53" s="148">
        <f t="shared" ref="G53:K53" si="2">SUM(G46:G52)</f>
        <v>0</v>
      </c>
      <c r="H53" s="148">
        <f t="shared" si="2"/>
        <v>0</v>
      </c>
      <c r="I53" s="148">
        <f t="shared" si="2"/>
        <v>527192.259968</v>
      </c>
      <c r="J53" s="148">
        <f t="shared" si="2"/>
        <v>0</v>
      </c>
      <c r="K53" s="148">
        <f t="shared" si="2"/>
        <v>0</v>
      </c>
    </row>
    <row r="56" spans="1:11" x14ac:dyDescent="0.2">
      <c r="A56" s="235" t="s">
        <v>94</v>
      </c>
      <c r="B56" s="319" t="s">
        <v>113</v>
      </c>
      <c r="C56" s="319"/>
      <c r="D56" s="319"/>
      <c r="E56" s="319"/>
      <c r="F56" s="319"/>
      <c r="G56" s="319"/>
      <c r="H56" s="319"/>
    </row>
    <row r="57" spans="1:11" x14ac:dyDescent="0.2">
      <c r="A57" s="235"/>
      <c r="B57" s="319"/>
      <c r="C57" s="319"/>
      <c r="D57" s="319"/>
      <c r="E57" s="319"/>
      <c r="F57" s="319"/>
      <c r="G57" s="319"/>
      <c r="H57" s="319"/>
    </row>
    <row r="58" spans="1:11" ht="14.45" customHeight="1" x14ac:dyDescent="0.2">
      <c r="A58" s="235"/>
      <c r="B58" s="307" t="s">
        <v>11</v>
      </c>
      <c r="C58" s="309" t="s">
        <v>104</v>
      </c>
      <c r="D58" s="310"/>
      <c r="E58" s="311"/>
      <c r="F58" s="320" t="s">
        <v>247</v>
      </c>
      <c r="G58" s="330"/>
      <c r="H58" s="330"/>
      <c r="I58" s="320" t="s">
        <v>245</v>
      </c>
      <c r="J58" s="330"/>
      <c r="K58" s="330"/>
    </row>
    <row r="59" spans="1:11" ht="33.75" x14ac:dyDescent="0.2">
      <c r="A59" s="235"/>
      <c r="B59" s="308"/>
      <c r="C59" s="312"/>
      <c r="D59" s="313"/>
      <c r="E59" s="314"/>
      <c r="F59" s="143" t="s">
        <v>105</v>
      </c>
      <c r="G59" s="144" t="s">
        <v>106</v>
      </c>
      <c r="H59" s="232" t="s">
        <v>26</v>
      </c>
      <c r="I59" s="143" t="s">
        <v>105</v>
      </c>
      <c r="J59" s="144" t="s">
        <v>106</v>
      </c>
      <c r="K59" s="232" t="s">
        <v>26</v>
      </c>
    </row>
    <row r="60" spans="1:11" x14ac:dyDescent="0.2">
      <c r="A60" s="235"/>
      <c r="B60" s="237" t="s">
        <v>17</v>
      </c>
      <c r="C60" s="360" t="s">
        <v>22</v>
      </c>
      <c r="D60" s="361"/>
      <c r="E60" s="362"/>
      <c r="F60" s="74" t="s">
        <v>28</v>
      </c>
      <c r="G60" s="160" t="s">
        <v>29</v>
      </c>
      <c r="H60" s="160" t="s">
        <v>30</v>
      </c>
      <c r="I60" s="161" t="s">
        <v>28</v>
      </c>
      <c r="J60" s="160" t="s">
        <v>29</v>
      </c>
      <c r="K60" s="160" t="s">
        <v>30</v>
      </c>
    </row>
    <row r="61" spans="1:11" x14ac:dyDescent="0.2">
      <c r="A61" s="81"/>
      <c r="B61" s="68" t="s">
        <v>77</v>
      </c>
      <c r="C61" s="321" t="s">
        <v>107</v>
      </c>
      <c r="D61" s="321"/>
      <c r="E61" s="322"/>
      <c r="F61" s="93">
        <v>0</v>
      </c>
      <c r="G61" s="93">
        <v>0</v>
      </c>
      <c r="H61" s="93">
        <v>0</v>
      </c>
      <c r="I61" s="93">
        <v>0</v>
      </c>
      <c r="J61" s="93">
        <v>0</v>
      </c>
      <c r="K61" s="93">
        <v>0</v>
      </c>
    </row>
    <row r="62" spans="1:11" x14ac:dyDescent="0.2">
      <c r="A62" s="81"/>
      <c r="B62" s="68"/>
      <c r="C62" s="234" t="s">
        <v>80</v>
      </c>
      <c r="D62" s="321" t="s">
        <v>108</v>
      </c>
      <c r="E62" s="322"/>
      <c r="F62" s="79">
        <v>0</v>
      </c>
      <c r="G62" s="79">
        <v>0</v>
      </c>
      <c r="H62" s="79">
        <v>0</v>
      </c>
      <c r="I62" s="79">
        <v>0</v>
      </c>
      <c r="J62" s="79">
        <v>0</v>
      </c>
      <c r="K62" s="79">
        <v>0</v>
      </c>
    </row>
    <row r="63" spans="1:11" x14ac:dyDescent="0.2">
      <c r="A63" s="81"/>
      <c r="B63" s="68"/>
      <c r="C63" s="234" t="s">
        <v>81</v>
      </c>
      <c r="D63" s="321" t="s">
        <v>109</v>
      </c>
      <c r="E63" s="322"/>
      <c r="F63" s="79">
        <v>0</v>
      </c>
      <c r="G63" s="79">
        <v>0</v>
      </c>
      <c r="H63" s="79">
        <v>0</v>
      </c>
      <c r="I63" s="79">
        <v>0</v>
      </c>
      <c r="J63" s="79">
        <v>0</v>
      </c>
      <c r="K63" s="79">
        <v>0</v>
      </c>
    </row>
    <row r="64" spans="1:11" x14ac:dyDescent="0.2">
      <c r="A64" s="81"/>
      <c r="B64" s="68"/>
      <c r="C64" s="234" t="s">
        <v>93</v>
      </c>
      <c r="D64" s="321" t="s">
        <v>110</v>
      </c>
      <c r="E64" s="322"/>
      <c r="F64" s="79">
        <v>0</v>
      </c>
      <c r="G64" s="79">
        <v>0</v>
      </c>
      <c r="H64" s="79">
        <v>0</v>
      </c>
      <c r="I64" s="79">
        <v>0</v>
      </c>
      <c r="J64" s="79">
        <v>0</v>
      </c>
      <c r="K64" s="79">
        <v>0</v>
      </c>
    </row>
    <row r="65" spans="1:11" x14ac:dyDescent="0.2">
      <c r="A65" s="81"/>
      <c r="B65" s="68"/>
      <c r="C65" s="234" t="s">
        <v>94</v>
      </c>
      <c r="D65" s="321" t="s">
        <v>111</v>
      </c>
      <c r="E65" s="322"/>
      <c r="F65" s="79">
        <v>0</v>
      </c>
      <c r="G65" s="79">
        <v>0</v>
      </c>
      <c r="H65" s="79">
        <v>0</v>
      </c>
      <c r="I65" s="79">
        <v>0</v>
      </c>
      <c r="J65" s="79">
        <v>0</v>
      </c>
      <c r="K65" s="79">
        <v>0</v>
      </c>
    </row>
    <row r="66" spans="1:11" x14ac:dyDescent="0.2">
      <c r="A66" s="81"/>
      <c r="B66" s="68" t="s">
        <v>82</v>
      </c>
      <c r="C66" s="321" t="s">
        <v>112</v>
      </c>
      <c r="D66" s="321"/>
      <c r="E66" s="322"/>
      <c r="F66" s="79">
        <v>0</v>
      </c>
      <c r="G66" s="79">
        <v>0</v>
      </c>
      <c r="H66" s="79"/>
      <c r="I66" s="79">
        <v>0</v>
      </c>
      <c r="J66" s="79">
        <v>0</v>
      </c>
      <c r="K66" s="79"/>
    </row>
    <row r="67" spans="1:11" x14ac:dyDescent="0.2">
      <c r="A67" s="96"/>
      <c r="B67" s="323" t="s">
        <v>97</v>
      </c>
      <c r="C67" s="324"/>
      <c r="D67" s="324"/>
      <c r="E67" s="325"/>
      <c r="F67" s="93">
        <f>SUM(F61:F66)</f>
        <v>0</v>
      </c>
      <c r="G67" s="93">
        <f t="shared" ref="G67:K67" si="3">SUM(G61:G66)</f>
        <v>0</v>
      </c>
      <c r="H67" s="93">
        <f t="shared" si="3"/>
        <v>0</v>
      </c>
      <c r="I67" s="93">
        <f t="shared" si="3"/>
        <v>0</v>
      </c>
      <c r="J67" s="93">
        <f t="shared" si="3"/>
        <v>0</v>
      </c>
      <c r="K67" s="93">
        <f t="shared" si="3"/>
        <v>0</v>
      </c>
    </row>
    <row r="70" spans="1:11" x14ac:dyDescent="0.2">
      <c r="A70" s="235" t="s">
        <v>95</v>
      </c>
      <c r="B70" s="319" t="s">
        <v>114</v>
      </c>
      <c r="C70" s="319"/>
      <c r="D70" s="319"/>
      <c r="E70" s="319"/>
      <c r="F70" s="319"/>
      <c r="G70" s="319"/>
      <c r="H70" s="319"/>
    </row>
    <row r="71" spans="1:11" x14ac:dyDescent="0.2">
      <c r="A71" s="235"/>
      <c r="B71" s="235"/>
      <c r="C71" s="235"/>
      <c r="D71" s="235"/>
      <c r="E71" s="235"/>
      <c r="F71" s="235"/>
      <c r="G71" s="235"/>
      <c r="H71" s="235"/>
    </row>
    <row r="72" spans="1:11" ht="14.45" customHeight="1" x14ac:dyDescent="0.2">
      <c r="A72" s="235"/>
      <c r="B72" s="307" t="s">
        <v>11</v>
      </c>
      <c r="C72" s="309" t="s">
        <v>104</v>
      </c>
      <c r="D72" s="310"/>
      <c r="E72" s="311"/>
      <c r="F72" s="320" t="s">
        <v>247</v>
      </c>
      <c r="G72" s="320"/>
      <c r="H72" s="320" t="s">
        <v>245</v>
      </c>
      <c r="I72" s="320"/>
      <c r="J72" s="235"/>
      <c r="K72" s="235"/>
    </row>
    <row r="73" spans="1:11" ht="33.75" x14ac:dyDescent="0.2">
      <c r="A73" s="235"/>
      <c r="B73" s="308"/>
      <c r="C73" s="312"/>
      <c r="D73" s="313"/>
      <c r="E73" s="314"/>
      <c r="F73" s="144" t="s">
        <v>106</v>
      </c>
      <c r="G73" s="139" t="s">
        <v>26</v>
      </c>
      <c r="H73" s="144" t="s">
        <v>106</v>
      </c>
      <c r="I73" s="139" t="s">
        <v>26</v>
      </c>
    </row>
    <row r="74" spans="1:11" x14ac:dyDescent="0.2">
      <c r="A74" s="55"/>
      <c r="B74" s="237" t="s">
        <v>17</v>
      </c>
      <c r="C74" s="358" t="s">
        <v>22</v>
      </c>
      <c r="D74" s="359"/>
      <c r="E74" s="359"/>
      <c r="F74" s="74" t="s">
        <v>28</v>
      </c>
      <c r="G74" s="74" t="s">
        <v>29</v>
      </c>
      <c r="H74" s="74" t="s">
        <v>28</v>
      </c>
      <c r="I74" s="74" t="s">
        <v>29</v>
      </c>
    </row>
    <row r="75" spans="1:11" x14ac:dyDescent="0.2">
      <c r="A75" s="81"/>
      <c r="B75" s="68" t="s">
        <v>77</v>
      </c>
      <c r="C75" s="315" t="s">
        <v>115</v>
      </c>
      <c r="D75" s="315"/>
      <c r="E75" s="315"/>
      <c r="F75" s="79">
        <v>0</v>
      </c>
      <c r="G75" s="79">
        <v>0</v>
      </c>
      <c r="H75" s="79">
        <v>0</v>
      </c>
      <c r="I75" s="79">
        <v>0</v>
      </c>
    </row>
    <row r="76" spans="1:11" x14ac:dyDescent="0.2">
      <c r="A76" s="81"/>
      <c r="B76" s="68" t="s">
        <v>82</v>
      </c>
      <c r="C76" s="315" t="s">
        <v>116</v>
      </c>
      <c r="D76" s="315"/>
      <c r="E76" s="315"/>
      <c r="F76" s="79">
        <v>0</v>
      </c>
      <c r="G76" s="79">
        <v>0</v>
      </c>
      <c r="H76" s="79">
        <v>0</v>
      </c>
      <c r="I76" s="79">
        <v>0</v>
      </c>
    </row>
    <row r="77" spans="1:11" x14ac:dyDescent="0.2">
      <c r="A77" s="81"/>
      <c r="B77" s="68" t="s">
        <v>83</v>
      </c>
      <c r="C77" s="315" t="s">
        <v>117</v>
      </c>
      <c r="D77" s="315"/>
      <c r="E77" s="315"/>
      <c r="F77" s="95"/>
      <c r="G77" s="79">
        <v>0</v>
      </c>
      <c r="H77" s="95"/>
      <c r="I77" s="79">
        <v>0</v>
      </c>
    </row>
    <row r="78" spans="1:11" x14ac:dyDescent="0.2">
      <c r="A78" s="81"/>
      <c r="B78" s="68" t="s">
        <v>84</v>
      </c>
      <c r="C78" s="315" t="s">
        <v>118</v>
      </c>
      <c r="D78" s="315"/>
      <c r="E78" s="315"/>
      <c r="F78" s="79">
        <v>0</v>
      </c>
      <c r="G78" s="79">
        <v>0</v>
      </c>
      <c r="H78" s="79">
        <v>0</v>
      </c>
      <c r="I78" s="79">
        <v>0</v>
      </c>
    </row>
    <row r="79" spans="1:11" x14ac:dyDescent="0.2">
      <c r="A79" s="81"/>
      <c r="B79" s="68" t="s">
        <v>85</v>
      </c>
      <c r="C79" s="315" t="s">
        <v>119</v>
      </c>
      <c r="D79" s="315"/>
      <c r="E79" s="315"/>
      <c r="F79" s="79">
        <v>0</v>
      </c>
      <c r="G79" s="79">
        <v>0</v>
      </c>
      <c r="H79" s="79">
        <v>0</v>
      </c>
      <c r="I79" s="79">
        <v>0</v>
      </c>
    </row>
    <row r="80" spans="1:11" x14ac:dyDescent="0.2">
      <c r="A80" s="81"/>
      <c r="B80" s="68" t="s">
        <v>86</v>
      </c>
      <c r="C80" s="315" t="s">
        <v>120</v>
      </c>
      <c r="D80" s="315"/>
      <c r="E80" s="315"/>
      <c r="F80" s="79">
        <v>0</v>
      </c>
      <c r="G80" s="79">
        <v>0</v>
      </c>
      <c r="H80" s="79">
        <v>0</v>
      </c>
      <c r="I80" s="79">
        <v>0</v>
      </c>
    </row>
    <row r="81" spans="1:9" x14ac:dyDescent="0.2">
      <c r="A81" s="81"/>
      <c r="B81" s="97" t="s">
        <v>87</v>
      </c>
      <c r="C81" s="316" t="s">
        <v>121</v>
      </c>
      <c r="D81" s="316"/>
      <c r="E81" s="316"/>
      <c r="F81" s="95"/>
      <c r="G81" s="79">
        <v>0</v>
      </c>
      <c r="H81" s="95"/>
      <c r="I81" s="79">
        <v>0</v>
      </c>
    </row>
    <row r="82" spans="1:9" x14ac:dyDescent="0.2">
      <c r="A82" s="81"/>
      <c r="B82" s="306" t="s">
        <v>97</v>
      </c>
      <c r="C82" s="306"/>
      <c r="D82" s="306"/>
      <c r="E82" s="306"/>
      <c r="F82" s="79">
        <f>SUM(F75,F76,F77:F78,F79,F80:F81)</f>
        <v>0</v>
      </c>
      <c r="G82" s="79">
        <f>SUM(G75,G76,G77:G78,G79,G80:G81)</f>
        <v>0</v>
      </c>
      <c r="H82" s="79">
        <f>SUM(H75,H76,H77:H78,H79,H80:H81)</f>
        <v>0</v>
      </c>
      <c r="I82" s="79">
        <f>SUM(I75,I76,I77:I78,I79,I80:I81)</f>
        <v>0</v>
      </c>
    </row>
    <row r="85" spans="1:9" x14ac:dyDescent="0.2">
      <c r="A85" s="235" t="s">
        <v>96</v>
      </c>
      <c r="B85" s="319" t="s">
        <v>122</v>
      </c>
      <c r="C85" s="319"/>
      <c r="D85" s="319"/>
      <c r="E85" s="319"/>
      <c r="F85" s="319"/>
      <c r="G85" s="319"/>
      <c r="H85" s="319"/>
    </row>
    <row r="86" spans="1:9" x14ac:dyDescent="0.2">
      <c r="A86" s="235"/>
      <c r="B86" s="302"/>
      <c r="C86" s="303"/>
      <c r="D86" s="303"/>
      <c r="E86" s="304"/>
      <c r="F86" s="231" t="s">
        <v>247</v>
      </c>
      <c r="G86" s="231" t="s">
        <v>245</v>
      </c>
      <c r="H86" s="235"/>
    </row>
    <row r="87" spans="1:9" x14ac:dyDescent="0.2">
      <c r="A87" s="81"/>
      <c r="B87" s="301" t="s">
        <v>123</v>
      </c>
      <c r="C87" s="301"/>
      <c r="D87" s="301"/>
      <c r="E87" s="301"/>
      <c r="F87" s="93">
        <f>H20+H38+H53+H67+G82</f>
        <v>14331676.405874725</v>
      </c>
      <c r="G87" s="93">
        <f>K20+K38+K53+K67+I82</f>
        <v>13784411.059423724</v>
      </c>
      <c r="H87" s="98"/>
    </row>
    <row r="88" spans="1:9" x14ac:dyDescent="0.2">
      <c r="A88" s="81"/>
      <c r="B88" s="301" t="s">
        <v>124</v>
      </c>
      <c r="C88" s="301"/>
      <c r="D88" s="301"/>
      <c r="E88" s="301"/>
      <c r="F88" s="99">
        <v>0</v>
      </c>
      <c r="G88" s="93">
        <v>0</v>
      </c>
      <c r="H88" s="98"/>
    </row>
    <row r="91" spans="1:9" x14ac:dyDescent="0.2">
      <c r="A91" s="3" t="s">
        <v>22</v>
      </c>
      <c r="B91" s="6" t="s">
        <v>125</v>
      </c>
    </row>
    <row r="92" spans="1:9" x14ac:dyDescent="0.2">
      <c r="A92" s="22"/>
      <c r="B92" s="8" t="s">
        <v>76</v>
      </c>
    </row>
  </sheetData>
  <mergeCells count="83">
    <mergeCell ref="B88:E88"/>
    <mergeCell ref="C80:E80"/>
    <mergeCell ref="C81:E81"/>
    <mergeCell ref="B82:E82"/>
    <mergeCell ref="B85:H85"/>
    <mergeCell ref="B86:E86"/>
    <mergeCell ref="B87:E87"/>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I58:K58"/>
    <mergeCell ref="C60:E60"/>
    <mergeCell ref="C61:E61"/>
    <mergeCell ref="D62:E62"/>
    <mergeCell ref="D63:E63"/>
    <mergeCell ref="D64:E64"/>
    <mergeCell ref="C51:E51"/>
    <mergeCell ref="B53:E53"/>
    <mergeCell ref="B56:H56"/>
    <mergeCell ref="B57:H57"/>
    <mergeCell ref="B58:B59"/>
    <mergeCell ref="C58:E59"/>
    <mergeCell ref="F58:H58"/>
    <mergeCell ref="C50:E50"/>
    <mergeCell ref="B41:H41"/>
    <mergeCell ref="B42:H42"/>
    <mergeCell ref="B43:B44"/>
    <mergeCell ref="C43:E44"/>
    <mergeCell ref="F43:H43"/>
    <mergeCell ref="C45:E45"/>
    <mergeCell ref="C46:E46"/>
    <mergeCell ref="C47:E47"/>
    <mergeCell ref="C48:E48"/>
    <mergeCell ref="C49:E49"/>
    <mergeCell ref="I43:K43"/>
    <mergeCell ref="C33:E33"/>
    <mergeCell ref="C34:E34"/>
    <mergeCell ref="C35:E35"/>
    <mergeCell ref="C36:E36"/>
    <mergeCell ref="C37:E37"/>
    <mergeCell ref="B38:E38"/>
    <mergeCell ref="C32:E32"/>
    <mergeCell ref="B20:E20"/>
    <mergeCell ref="B23:H23"/>
    <mergeCell ref="B25:B26"/>
    <mergeCell ref="C25:E26"/>
    <mergeCell ref="F25:H25"/>
    <mergeCell ref="C27:E27"/>
    <mergeCell ref="C28:E28"/>
    <mergeCell ref="C29:E29"/>
    <mergeCell ref="C30:E30"/>
    <mergeCell ref="C31:E31"/>
    <mergeCell ref="I25:K25"/>
    <mergeCell ref="C14:E14"/>
    <mergeCell ref="C15:E15"/>
    <mergeCell ref="C16:E16"/>
    <mergeCell ref="C17:E17"/>
    <mergeCell ref="C18:E18"/>
    <mergeCell ref="C19:E19"/>
    <mergeCell ref="C13:E13"/>
    <mergeCell ref="J3:K3"/>
    <mergeCell ref="B4:H4"/>
    <mergeCell ref="B5:H5"/>
    <mergeCell ref="B6:B7"/>
    <mergeCell ref="C6:E7"/>
    <mergeCell ref="F6:H6"/>
    <mergeCell ref="I6:K6"/>
    <mergeCell ref="C8:E8"/>
    <mergeCell ref="C9:E9"/>
    <mergeCell ref="C10:E10"/>
    <mergeCell ref="C11:E11"/>
    <mergeCell ref="C12:E12"/>
  </mergeCells>
  <dataValidations count="1">
    <dataValidation type="decimal" operator="greaterThanOrEqual" allowBlank="1" showInputMessage="1" showErrorMessage="1" promptTitle="Data Input" prompt="Enter value greater than or equal to zero" sqref="K17:K18 H17:H18 H12 F10:G18 K12 F19:K19 F47:G52 I29:J33 F29:G33 I47:J52 K49 I10:J18 H49 H46 K46 K31 H31:H33 F35:J36">
      <formula1>0</formula1>
    </dataValidation>
  </dataValidations>
  <pageMargins left="0.70866141732283472" right="0.70866141732283472" top="0.74803149606299213" bottom="0.74803149606299213" header="0.31496062992125984" footer="0.31496062992125984"/>
  <pageSetup paperSize="5"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topLeftCell="A19" workbookViewId="0">
      <selection activeCell="J10" sqref="J10:N17"/>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6" width="13.140625" bestFit="1" customWidth="1"/>
    <col min="8" max="8" width="14" customWidth="1"/>
    <col min="9" max="9" width="13.85546875" customWidth="1"/>
  </cols>
  <sheetData>
    <row r="1" spans="1:9" x14ac:dyDescent="0.25">
      <c r="A1" t="s">
        <v>146</v>
      </c>
      <c r="B1" t="s">
        <v>147</v>
      </c>
    </row>
    <row r="2" spans="1:9" x14ac:dyDescent="0.25">
      <c r="B2" s="114" t="s">
        <v>17</v>
      </c>
      <c r="C2" t="s">
        <v>148</v>
      </c>
    </row>
    <row r="3" spans="1:9" x14ac:dyDescent="0.25">
      <c r="C3" s="114" t="s">
        <v>149</v>
      </c>
      <c r="D3" t="s">
        <v>150</v>
      </c>
    </row>
    <row r="4" spans="1:9" x14ac:dyDescent="0.25">
      <c r="D4" t="s">
        <v>155</v>
      </c>
    </row>
    <row r="6" spans="1:9" x14ac:dyDescent="0.25">
      <c r="C6" s="114" t="s">
        <v>151</v>
      </c>
      <c r="D6" t="s">
        <v>152</v>
      </c>
    </row>
    <row r="7" spans="1:9" x14ac:dyDescent="0.25">
      <c r="D7" t="s">
        <v>155</v>
      </c>
    </row>
    <row r="9" spans="1:9" x14ac:dyDescent="0.25">
      <c r="C9" s="114" t="s">
        <v>153</v>
      </c>
      <c r="D9" t="s">
        <v>154</v>
      </c>
    </row>
    <row r="10" spans="1:9" s="115" customFormat="1" x14ac:dyDescent="0.25">
      <c r="D10" s="275" t="s">
        <v>18</v>
      </c>
      <c r="E10" s="275" t="s">
        <v>19</v>
      </c>
      <c r="F10" s="274" t="s">
        <v>23</v>
      </c>
      <c r="G10" s="274"/>
      <c r="H10" s="274"/>
      <c r="I10" s="274"/>
    </row>
    <row r="11" spans="1:9" s="115" customFormat="1" ht="28.5" customHeight="1" x14ac:dyDescent="0.25">
      <c r="D11" s="276"/>
      <c r="E11" s="276"/>
      <c r="F11" s="129" t="s">
        <v>59</v>
      </c>
      <c r="G11" s="129" t="s">
        <v>156</v>
      </c>
      <c r="H11" s="128" t="s">
        <v>157</v>
      </c>
      <c r="I11" s="128" t="s">
        <v>158</v>
      </c>
    </row>
    <row r="12" spans="1:9" s="43" customFormat="1" ht="14.45" customHeight="1" x14ac:dyDescent="0.25">
      <c r="D12" s="7" t="s">
        <v>17</v>
      </c>
      <c r="E12" s="7" t="s">
        <v>22</v>
      </c>
      <c r="F12" s="7" t="s">
        <v>28</v>
      </c>
      <c r="G12" s="7" t="s">
        <v>29</v>
      </c>
      <c r="H12" s="7" t="s">
        <v>30</v>
      </c>
      <c r="I12" s="7" t="s">
        <v>31</v>
      </c>
    </row>
    <row r="13" spans="1:9" x14ac:dyDescent="0.25">
      <c r="D13" s="16"/>
      <c r="E13" s="16"/>
      <c r="F13" s="16"/>
      <c r="G13" s="16"/>
      <c r="H13" s="16"/>
      <c r="I13" s="16"/>
    </row>
    <row r="14" spans="1:9" x14ac:dyDescent="0.25">
      <c r="D14" s="127">
        <v>1</v>
      </c>
      <c r="E14" s="17" t="s">
        <v>0</v>
      </c>
      <c r="F14" s="24">
        <v>263405</v>
      </c>
      <c r="G14" s="24">
        <v>0</v>
      </c>
      <c r="H14" s="24">
        <f>F14-G14</f>
        <v>263405</v>
      </c>
      <c r="I14" s="165">
        <f>H14*0%</f>
        <v>0</v>
      </c>
    </row>
    <row r="15" spans="1:9" x14ac:dyDescent="0.25">
      <c r="D15" s="127">
        <v>2</v>
      </c>
      <c r="E15" s="17" t="s">
        <v>1</v>
      </c>
      <c r="F15" s="24">
        <v>0</v>
      </c>
      <c r="G15" s="24">
        <v>0</v>
      </c>
      <c r="H15" s="24">
        <v>0</v>
      </c>
      <c r="I15" s="24">
        <v>0</v>
      </c>
    </row>
    <row r="16" spans="1:9" x14ac:dyDescent="0.25">
      <c r="D16" s="127">
        <v>3</v>
      </c>
      <c r="E16" s="17" t="s">
        <v>2</v>
      </c>
      <c r="F16" s="24">
        <v>0</v>
      </c>
      <c r="G16" s="24">
        <v>0</v>
      </c>
      <c r="H16" s="24">
        <v>0</v>
      </c>
      <c r="I16" s="24">
        <v>0</v>
      </c>
    </row>
    <row r="17" spans="2:9" x14ac:dyDescent="0.25">
      <c r="D17" s="127">
        <v>4</v>
      </c>
      <c r="E17" s="17" t="s">
        <v>3</v>
      </c>
      <c r="F17" s="24">
        <v>0</v>
      </c>
      <c r="G17" s="24">
        <v>0</v>
      </c>
      <c r="H17" s="24">
        <v>0</v>
      </c>
      <c r="I17" s="24">
        <v>0</v>
      </c>
    </row>
    <row r="18" spans="2:9" x14ac:dyDescent="0.25">
      <c r="D18" s="127">
        <v>5</v>
      </c>
      <c r="E18" s="17" t="s">
        <v>7</v>
      </c>
      <c r="F18" s="24">
        <v>0</v>
      </c>
      <c r="G18" s="24">
        <v>0</v>
      </c>
      <c r="H18" s="24">
        <v>0</v>
      </c>
      <c r="I18" s="24">
        <v>0</v>
      </c>
    </row>
    <row r="19" spans="2:9" x14ac:dyDescent="0.25">
      <c r="D19" s="127">
        <v>6</v>
      </c>
      <c r="E19" s="17" t="s">
        <v>8</v>
      </c>
      <c r="F19" s="24">
        <v>0</v>
      </c>
      <c r="G19" s="24">
        <v>0</v>
      </c>
      <c r="H19" s="24">
        <v>0</v>
      </c>
      <c r="I19" s="24">
        <v>0</v>
      </c>
    </row>
    <row r="20" spans="2:9" x14ac:dyDescent="0.25">
      <c r="D20" s="16"/>
      <c r="E20" s="16"/>
      <c r="F20" s="24"/>
      <c r="G20" s="24"/>
      <c r="H20" s="24"/>
      <c r="I20" s="24"/>
    </row>
    <row r="21" spans="2:9" x14ac:dyDescent="0.25">
      <c r="D21" s="116"/>
      <c r="E21" s="116" t="s">
        <v>97</v>
      </c>
      <c r="F21" s="117">
        <f>SUM(F14:F20)</f>
        <v>263405</v>
      </c>
      <c r="G21" s="117">
        <f t="shared" ref="G21:I21" si="0">SUM(G14:G20)</f>
        <v>0</v>
      </c>
      <c r="H21" s="117">
        <f t="shared" si="0"/>
        <v>263405</v>
      </c>
      <c r="I21" s="166">
        <f t="shared" si="0"/>
        <v>0</v>
      </c>
    </row>
    <row r="24" spans="2:9" x14ac:dyDescent="0.25">
      <c r="B24" s="157" t="s">
        <v>236</v>
      </c>
      <c r="C24" s="157"/>
    </row>
    <row r="25" spans="2:9" x14ac:dyDescent="0.25">
      <c r="B25" s="158" t="s">
        <v>241</v>
      </c>
      <c r="C25" s="157"/>
    </row>
  </sheetData>
  <mergeCells count="3">
    <mergeCell ref="F10:I10"/>
    <mergeCell ref="D10:D11"/>
    <mergeCell ref="E10:E11"/>
  </mergeCells>
  <pageMargins left="0.7" right="0.7" top="0.75" bottom="0.75" header="0.3" footer="0.3"/>
  <ignoredErrors>
    <ignoredError sqref="B2 D12:I12" numberStoredAsText="1"/>
  </ignoredError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2"/>
  <sheetViews>
    <sheetView showGridLines="0" topLeftCell="A58" zoomScaleNormal="100" workbookViewId="0">
      <selection activeCell="G26" sqref="G26"/>
    </sheetView>
  </sheetViews>
  <sheetFormatPr defaultColWidth="8.7109375" defaultRowHeight="11.25" x14ac:dyDescent="0.2"/>
  <cols>
    <col min="1" max="1" width="4.140625" style="6" customWidth="1"/>
    <col min="2" max="2" width="4" style="65" customWidth="1"/>
    <col min="3" max="3" width="4.28515625" style="6" customWidth="1"/>
    <col min="4" max="4" width="3.85546875" style="6" customWidth="1"/>
    <col min="5" max="5" width="39.140625" style="6" customWidth="1"/>
    <col min="6" max="6" width="14.28515625" style="6" bestFit="1" customWidth="1"/>
    <col min="7" max="7" width="14.28515625" style="6" customWidth="1"/>
    <col min="8" max="8" width="10.42578125" style="6" customWidth="1"/>
    <col min="9" max="16384" width="8.7109375" style="6"/>
  </cols>
  <sheetData>
    <row r="1" spans="1:12" x14ac:dyDescent="0.2">
      <c r="B1" s="65" t="s">
        <v>129</v>
      </c>
    </row>
    <row r="2" spans="1:12" x14ac:dyDescent="0.2">
      <c r="B2" s="3" t="s">
        <v>17</v>
      </c>
      <c r="C2" s="6" t="s">
        <v>16</v>
      </c>
    </row>
    <row r="3" spans="1:12" ht="10.5" customHeight="1" x14ac:dyDescent="0.2">
      <c r="B3" s="3"/>
      <c r="J3" s="357" t="s">
        <v>57</v>
      </c>
      <c r="K3" s="357"/>
    </row>
    <row r="4" spans="1:12" x14ac:dyDescent="0.2">
      <c r="A4" s="53" t="s">
        <v>80</v>
      </c>
      <c r="B4" s="353" t="s">
        <v>100</v>
      </c>
      <c r="C4" s="353"/>
      <c r="D4" s="353"/>
      <c r="E4" s="353"/>
      <c r="F4" s="353"/>
      <c r="G4" s="353"/>
      <c r="H4" s="353"/>
    </row>
    <row r="5" spans="1:12" ht="10.5" customHeight="1" x14ac:dyDescent="0.2">
      <c r="A5" s="53"/>
      <c r="B5" s="349"/>
      <c r="C5" s="349"/>
      <c r="D5" s="349"/>
      <c r="E5" s="349"/>
      <c r="F5" s="349"/>
      <c r="G5" s="349"/>
      <c r="H5" s="349"/>
      <c r="K5" s="162"/>
      <c r="L5" s="162"/>
    </row>
    <row r="6" spans="1:12" ht="14.45" customHeight="1" x14ac:dyDescent="0.2">
      <c r="A6" s="250"/>
      <c r="B6" s="341" t="s">
        <v>11</v>
      </c>
      <c r="C6" s="343" t="s">
        <v>19</v>
      </c>
      <c r="D6" s="344"/>
      <c r="E6" s="345"/>
      <c r="F6" s="320" t="s">
        <v>249</v>
      </c>
      <c r="G6" s="330"/>
      <c r="H6" s="330"/>
      <c r="I6" s="320" t="s">
        <v>247</v>
      </c>
      <c r="J6" s="330"/>
      <c r="K6" s="330"/>
    </row>
    <row r="7" spans="1:12" ht="20.45" customHeight="1" x14ac:dyDescent="0.2">
      <c r="A7" s="56"/>
      <c r="B7" s="342"/>
      <c r="C7" s="346"/>
      <c r="D7" s="347"/>
      <c r="E7" s="348"/>
      <c r="F7" s="139" t="s">
        <v>59</v>
      </c>
      <c r="G7" s="140" t="s">
        <v>78</v>
      </c>
      <c r="H7" s="139" t="s">
        <v>79</v>
      </c>
      <c r="I7" s="139" t="s">
        <v>59</v>
      </c>
      <c r="J7" s="140" t="s">
        <v>78</v>
      </c>
      <c r="K7" s="139" t="s">
        <v>79</v>
      </c>
    </row>
    <row r="8" spans="1:12" s="40" customFormat="1" ht="10.5" customHeight="1" x14ac:dyDescent="0.15">
      <c r="A8" s="73"/>
      <c r="B8" s="74" t="s">
        <v>17</v>
      </c>
      <c r="C8" s="354" t="s">
        <v>22</v>
      </c>
      <c r="D8" s="355"/>
      <c r="E8" s="356"/>
      <c r="F8" s="75" t="s">
        <v>28</v>
      </c>
      <c r="G8" s="75" t="s">
        <v>29</v>
      </c>
      <c r="H8" s="75" t="s">
        <v>30</v>
      </c>
      <c r="I8" s="75" t="s">
        <v>28</v>
      </c>
      <c r="J8" s="75" t="s">
        <v>29</v>
      </c>
      <c r="K8" s="75" t="s">
        <v>30</v>
      </c>
    </row>
    <row r="9" spans="1:12" x14ac:dyDescent="0.2">
      <c r="A9" s="57"/>
      <c r="B9" s="66" t="s">
        <v>77</v>
      </c>
      <c r="C9" s="331" t="s">
        <v>0</v>
      </c>
      <c r="D9" s="331"/>
      <c r="E9" s="332"/>
      <c r="F9" s="70">
        <v>5235538.180524</v>
      </c>
      <c r="G9" s="70">
        <v>0</v>
      </c>
      <c r="H9" s="70">
        <v>0</v>
      </c>
      <c r="I9" s="70">
        <v>5103844.1384089999</v>
      </c>
      <c r="J9" s="70">
        <v>0</v>
      </c>
      <c r="K9" s="70">
        <v>0</v>
      </c>
    </row>
    <row r="10" spans="1:12" x14ac:dyDescent="0.2">
      <c r="A10" s="59"/>
      <c r="B10" s="67" t="s">
        <v>82</v>
      </c>
      <c r="C10" s="339" t="s">
        <v>1</v>
      </c>
      <c r="D10" s="339"/>
      <c r="E10" s="340"/>
      <c r="F10" s="71">
        <v>0</v>
      </c>
      <c r="G10" s="71">
        <v>0</v>
      </c>
      <c r="H10" s="88">
        <v>0</v>
      </c>
      <c r="I10" s="71">
        <v>10789.5</v>
      </c>
      <c r="J10" s="71">
        <v>2157.9</v>
      </c>
      <c r="K10" s="88">
        <v>2157.9</v>
      </c>
    </row>
    <row r="11" spans="1:12" x14ac:dyDescent="0.2">
      <c r="A11" s="57"/>
      <c r="B11" s="67" t="s">
        <v>83</v>
      </c>
      <c r="C11" s="331" t="s">
        <v>2</v>
      </c>
      <c r="D11" s="331"/>
      <c r="E11" s="332"/>
      <c r="F11" s="71">
        <v>428.70259199999998</v>
      </c>
      <c r="G11" s="71">
        <v>214.35129599999999</v>
      </c>
      <c r="H11" s="88">
        <v>214.35129599999999</v>
      </c>
      <c r="I11" s="71">
        <v>0</v>
      </c>
      <c r="J11" s="71">
        <v>0</v>
      </c>
      <c r="K11" s="88">
        <v>0</v>
      </c>
    </row>
    <row r="12" spans="1:12" x14ac:dyDescent="0.2">
      <c r="A12" s="57"/>
      <c r="B12" s="67" t="s">
        <v>84</v>
      </c>
      <c r="C12" s="331" t="s">
        <v>68</v>
      </c>
      <c r="D12" s="331"/>
      <c r="E12" s="332"/>
      <c r="F12" s="71">
        <v>2132398.1015999997</v>
      </c>
      <c r="G12" s="71">
        <v>451998.61672230007</v>
      </c>
      <c r="H12" s="239">
        <v>451998.61672230007</v>
      </c>
      <c r="I12" s="71">
        <v>3944375.4706059997</v>
      </c>
      <c r="J12" s="71">
        <v>817631.43942349998</v>
      </c>
      <c r="K12" s="239">
        <v>817631.43942349998</v>
      </c>
    </row>
    <row r="13" spans="1:12" x14ac:dyDescent="0.2">
      <c r="A13" s="57"/>
      <c r="B13" s="68" t="s">
        <v>85</v>
      </c>
      <c r="C13" s="331" t="s">
        <v>4</v>
      </c>
      <c r="D13" s="331"/>
      <c r="E13" s="332"/>
      <c r="F13" s="72">
        <v>603449.96147700003</v>
      </c>
      <c r="G13" s="72">
        <v>198777.9253678</v>
      </c>
      <c r="H13" s="88">
        <v>198777.9253678</v>
      </c>
      <c r="I13" s="72">
        <v>596747.83774799993</v>
      </c>
      <c r="J13" s="72">
        <v>196191.6501043</v>
      </c>
      <c r="K13" s="88">
        <v>196191.6501043</v>
      </c>
    </row>
    <row r="14" spans="1:12" x14ac:dyDescent="0.2">
      <c r="A14" s="57"/>
      <c r="B14" s="68" t="s">
        <v>86</v>
      </c>
      <c r="C14" s="331" t="s">
        <v>5</v>
      </c>
      <c r="D14" s="331"/>
      <c r="E14" s="332"/>
      <c r="F14" s="72">
        <v>278805.32694499998</v>
      </c>
      <c r="G14" s="72">
        <v>278805.32694499998</v>
      </c>
      <c r="H14" s="88">
        <v>278805.32694499998</v>
      </c>
      <c r="I14" s="72">
        <v>150930.65102399999</v>
      </c>
      <c r="J14" s="72">
        <v>150930.65102399999</v>
      </c>
      <c r="K14" s="88">
        <v>150930.65102399999</v>
      </c>
    </row>
    <row r="15" spans="1:12" x14ac:dyDescent="0.2">
      <c r="A15" s="57"/>
      <c r="B15" s="68" t="s">
        <v>87</v>
      </c>
      <c r="C15" s="331" t="s">
        <v>6</v>
      </c>
      <c r="D15" s="331"/>
      <c r="E15" s="332"/>
      <c r="F15" s="72">
        <v>11640983.539027</v>
      </c>
      <c r="G15" s="72">
        <v>5820491.7695134999</v>
      </c>
      <c r="H15" s="88">
        <v>5818376.6623694999</v>
      </c>
      <c r="I15" s="72">
        <v>11309754.615403</v>
      </c>
      <c r="J15" s="72">
        <v>5654877.3077015001</v>
      </c>
      <c r="K15" s="88">
        <v>5652606.220528</v>
      </c>
    </row>
    <row r="16" spans="1:12" x14ac:dyDescent="0.2">
      <c r="A16" s="57"/>
      <c r="B16" s="68" t="s">
        <v>88</v>
      </c>
      <c r="C16" s="331" t="s">
        <v>7</v>
      </c>
      <c r="D16" s="331"/>
      <c r="E16" s="332"/>
      <c r="F16" s="72">
        <v>923241.16062800004</v>
      </c>
      <c r="G16" s="72">
        <v>692430.87047099997</v>
      </c>
      <c r="H16" s="88">
        <v>670228.64926264994</v>
      </c>
      <c r="I16" s="72">
        <v>979668.52832100005</v>
      </c>
      <c r="J16" s="72">
        <v>734751.39624075009</v>
      </c>
      <c r="K16" s="88">
        <v>711480.05906005006</v>
      </c>
    </row>
    <row r="17" spans="1:11" x14ac:dyDescent="0.2">
      <c r="A17" s="57"/>
      <c r="B17" s="69" t="s">
        <v>89</v>
      </c>
      <c r="C17" s="331" t="s">
        <v>8</v>
      </c>
      <c r="D17" s="331"/>
      <c r="E17" s="332"/>
      <c r="F17" s="71">
        <v>3929495.3767320001</v>
      </c>
      <c r="G17" s="71">
        <v>3848697.3307320001</v>
      </c>
      <c r="H17" s="71">
        <v>3827650.0763890003</v>
      </c>
      <c r="I17" s="71">
        <v>4880008.3962340001</v>
      </c>
      <c r="J17" s="71">
        <v>4450448.969234</v>
      </c>
      <c r="K17" s="71">
        <v>4428323.7353880005</v>
      </c>
    </row>
    <row r="18" spans="1:11" x14ac:dyDescent="0.2">
      <c r="A18" s="57"/>
      <c r="B18" s="68" t="s">
        <v>90</v>
      </c>
      <c r="C18" s="331" t="s">
        <v>9</v>
      </c>
      <c r="D18" s="331"/>
      <c r="E18" s="332"/>
      <c r="F18" s="71">
        <v>243038.81447300006</v>
      </c>
      <c r="G18" s="71">
        <v>338677.02247150009</v>
      </c>
      <c r="H18" s="71">
        <v>338374.6069958001</v>
      </c>
      <c r="I18" s="71">
        <v>227974.98849199997</v>
      </c>
      <c r="J18" s="71">
        <v>330314.51722799998</v>
      </c>
      <c r="K18" s="71">
        <v>330200.08333439991</v>
      </c>
    </row>
    <row r="19" spans="1:11" x14ac:dyDescent="0.2">
      <c r="A19" s="57"/>
      <c r="B19" s="249" t="s">
        <v>91</v>
      </c>
      <c r="C19" s="321" t="s">
        <v>10</v>
      </c>
      <c r="D19" s="321"/>
      <c r="E19" s="322"/>
      <c r="F19" s="72">
        <v>2518548.5639000004</v>
      </c>
      <c r="G19" s="72">
        <v>0</v>
      </c>
      <c r="H19" s="240">
        <v>1792534.9156610002</v>
      </c>
      <c r="I19" s="72">
        <v>2366980.4686160004</v>
      </c>
      <c r="J19" s="72">
        <v>0</v>
      </c>
      <c r="K19" s="240">
        <v>1843396.6704620002</v>
      </c>
    </row>
    <row r="20" spans="1:11" x14ac:dyDescent="0.2">
      <c r="A20" s="57"/>
      <c r="B20" s="333" t="s">
        <v>97</v>
      </c>
      <c r="C20" s="334"/>
      <c r="D20" s="334"/>
      <c r="E20" s="335"/>
      <c r="F20" s="147">
        <f>SUM(F9:F19)</f>
        <v>27505927.727897998</v>
      </c>
      <c r="G20" s="147">
        <f t="shared" ref="G20:K20" si="0">SUM(G9:G19)</f>
        <v>11630093.2135191</v>
      </c>
      <c r="H20" s="147">
        <f t="shared" si="0"/>
        <v>13376961.13100905</v>
      </c>
      <c r="I20" s="147">
        <f t="shared" si="0"/>
        <v>29571074.594853003</v>
      </c>
      <c r="J20" s="147">
        <f t="shared" si="0"/>
        <v>12337303.830956049</v>
      </c>
      <c r="K20" s="147">
        <f t="shared" si="0"/>
        <v>14132918.409324251</v>
      </c>
    </row>
    <row r="21" spans="1:11" x14ac:dyDescent="0.2">
      <c r="F21" s="184"/>
      <c r="G21" s="184"/>
      <c r="H21" s="184"/>
    </row>
    <row r="23" spans="1:11" x14ac:dyDescent="0.2">
      <c r="A23" s="53" t="s">
        <v>81</v>
      </c>
      <c r="B23" s="349" t="s">
        <v>101</v>
      </c>
      <c r="C23" s="349"/>
      <c r="D23" s="349"/>
      <c r="E23" s="349"/>
      <c r="F23" s="349"/>
      <c r="G23" s="349"/>
      <c r="H23" s="349"/>
    </row>
    <row r="24" spans="1:11" x14ac:dyDescent="0.2">
      <c r="A24" s="53"/>
      <c r="B24" s="256"/>
      <c r="C24" s="256"/>
      <c r="D24" s="256"/>
      <c r="E24" s="256"/>
      <c r="F24" s="256"/>
      <c r="G24" s="256"/>
      <c r="H24" s="256"/>
    </row>
    <row r="25" spans="1:11" ht="14.45" customHeight="1" x14ac:dyDescent="0.2">
      <c r="A25" s="76"/>
      <c r="B25" s="341" t="s">
        <v>11</v>
      </c>
      <c r="C25" s="343" t="s">
        <v>19</v>
      </c>
      <c r="D25" s="344"/>
      <c r="E25" s="345"/>
      <c r="F25" s="320" t="s">
        <v>249</v>
      </c>
      <c r="G25" s="330"/>
      <c r="H25" s="330"/>
      <c r="I25" s="320" t="s">
        <v>247</v>
      </c>
      <c r="J25" s="330"/>
      <c r="K25" s="330"/>
    </row>
    <row r="26" spans="1:11" ht="33.75" x14ac:dyDescent="0.2">
      <c r="A26" s="57"/>
      <c r="B26" s="342"/>
      <c r="C26" s="346"/>
      <c r="D26" s="347"/>
      <c r="E26" s="348"/>
      <c r="F26" s="141" t="s">
        <v>59</v>
      </c>
      <c r="G26" s="139" t="s">
        <v>78</v>
      </c>
      <c r="H26" s="139" t="s">
        <v>79</v>
      </c>
      <c r="I26" s="142" t="s">
        <v>59</v>
      </c>
      <c r="J26" s="139" t="s">
        <v>78</v>
      </c>
      <c r="K26" s="139" t="s">
        <v>79</v>
      </c>
    </row>
    <row r="27" spans="1:11" s="40" customFormat="1" ht="10.5" customHeight="1" x14ac:dyDescent="0.15">
      <c r="A27" s="73"/>
      <c r="B27" s="74" t="s">
        <v>17</v>
      </c>
      <c r="C27" s="354" t="s">
        <v>22</v>
      </c>
      <c r="D27" s="355"/>
      <c r="E27" s="356"/>
      <c r="F27" s="75" t="s">
        <v>28</v>
      </c>
      <c r="G27" s="75" t="s">
        <v>29</v>
      </c>
      <c r="H27" s="75" t="s">
        <v>30</v>
      </c>
      <c r="I27" s="75" t="s">
        <v>28</v>
      </c>
      <c r="J27" s="75" t="s">
        <v>29</v>
      </c>
      <c r="K27" s="75" t="s">
        <v>30</v>
      </c>
    </row>
    <row r="28" spans="1:11" x14ac:dyDescent="0.2">
      <c r="A28" s="57"/>
      <c r="B28" s="66" t="s">
        <v>77</v>
      </c>
      <c r="C28" s="331" t="s">
        <v>0</v>
      </c>
      <c r="D28" s="331"/>
      <c r="E28" s="332"/>
      <c r="F28" s="70">
        <v>464.26898660000001</v>
      </c>
      <c r="G28" s="70">
        <v>0</v>
      </c>
      <c r="H28" s="70">
        <v>0</v>
      </c>
      <c r="I28" s="70">
        <v>23850.906921200003</v>
      </c>
      <c r="J28" s="70">
        <v>0</v>
      </c>
      <c r="K28" s="70">
        <v>0</v>
      </c>
    </row>
    <row r="29" spans="1:11" x14ac:dyDescent="0.2">
      <c r="A29" s="81"/>
      <c r="B29" s="67" t="s">
        <v>82</v>
      </c>
      <c r="C29" s="339" t="s">
        <v>1</v>
      </c>
      <c r="D29" s="339"/>
      <c r="E29" s="340"/>
      <c r="F29" s="87">
        <v>2218.6233219999999</v>
      </c>
      <c r="G29" s="87">
        <v>1109.311661</v>
      </c>
      <c r="H29" s="88">
        <v>1106.1407234999999</v>
      </c>
      <c r="I29" s="87">
        <v>2447.8964799999999</v>
      </c>
      <c r="J29" s="87">
        <v>1223.9482399999999</v>
      </c>
      <c r="K29" s="88">
        <v>1223.9482399999999</v>
      </c>
    </row>
    <row r="30" spans="1:11" x14ac:dyDescent="0.2">
      <c r="A30" s="57"/>
      <c r="B30" s="67" t="s">
        <v>83</v>
      </c>
      <c r="C30" s="331" t="s">
        <v>98</v>
      </c>
      <c r="D30" s="331"/>
      <c r="E30" s="332"/>
      <c r="F30" s="87">
        <v>0</v>
      </c>
      <c r="G30" s="87">
        <v>0</v>
      </c>
      <c r="H30" s="88">
        <v>0</v>
      </c>
      <c r="I30" s="87">
        <v>0</v>
      </c>
      <c r="J30" s="87">
        <v>0</v>
      </c>
      <c r="K30" s="88">
        <v>0</v>
      </c>
    </row>
    <row r="31" spans="1:11" x14ac:dyDescent="0.2">
      <c r="A31" s="81"/>
      <c r="B31" s="67" t="s">
        <v>84</v>
      </c>
      <c r="C31" s="331" t="s">
        <v>99</v>
      </c>
      <c r="D31" s="331"/>
      <c r="E31" s="332"/>
      <c r="F31" s="87">
        <v>0</v>
      </c>
      <c r="G31" s="87">
        <v>0</v>
      </c>
      <c r="H31" s="87">
        <v>0</v>
      </c>
      <c r="I31" s="87">
        <v>0</v>
      </c>
      <c r="J31" s="87">
        <v>0</v>
      </c>
      <c r="K31" s="87">
        <v>0</v>
      </c>
    </row>
    <row r="32" spans="1:11" x14ac:dyDescent="0.2">
      <c r="A32" s="81"/>
      <c r="B32" s="68" t="s">
        <v>85</v>
      </c>
      <c r="C32" s="331" t="s">
        <v>4</v>
      </c>
      <c r="D32" s="331"/>
      <c r="E32" s="332"/>
      <c r="F32" s="87">
        <v>0</v>
      </c>
      <c r="G32" s="87">
        <v>0</v>
      </c>
      <c r="H32" s="87">
        <v>0</v>
      </c>
      <c r="I32" s="87">
        <v>0</v>
      </c>
      <c r="J32" s="87">
        <v>0</v>
      </c>
      <c r="K32" s="87">
        <v>0</v>
      </c>
    </row>
    <row r="33" spans="1:11" x14ac:dyDescent="0.2">
      <c r="A33" s="81"/>
      <c r="B33" s="68" t="s">
        <v>86</v>
      </c>
      <c r="C33" s="331" t="s">
        <v>5</v>
      </c>
      <c r="D33" s="331"/>
      <c r="E33" s="332"/>
      <c r="F33" s="87">
        <v>0</v>
      </c>
      <c r="G33" s="87">
        <v>0</v>
      </c>
      <c r="H33" s="87">
        <v>0</v>
      </c>
      <c r="I33" s="87">
        <v>0</v>
      </c>
      <c r="J33" s="87">
        <v>0</v>
      </c>
      <c r="K33" s="87">
        <v>0</v>
      </c>
    </row>
    <row r="34" spans="1:11" x14ac:dyDescent="0.2">
      <c r="A34" s="81"/>
      <c r="B34" s="68" t="s">
        <v>87</v>
      </c>
      <c r="C34" s="331" t="s">
        <v>6</v>
      </c>
      <c r="D34" s="331"/>
      <c r="E34" s="332"/>
      <c r="F34" s="89">
        <v>0</v>
      </c>
      <c r="G34" s="89">
        <v>0</v>
      </c>
      <c r="H34" s="89">
        <v>0</v>
      </c>
      <c r="I34" s="89">
        <v>0</v>
      </c>
      <c r="J34" s="89">
        <v>0</v>
      </c>
      <c r="K34" s="89">
        <v>0</v>
      </c>
    </row>
    <row r="35" spans="1:11" x14ac:dyDescent="0.2">
      <c r="A35" s="81"/>
      <c r="B35" s="68" t="s">
        <v>88</v>
      </c>
      <c r="C35" s="331" t="s">
        <v>7</v>
      </c>
      <c r="D35" s="331"/>
      <c r="E35" s="332"/>
      <c r="F35" s="87">
        <v>50778.207761800004</v>
      </c>
      <c r="G35" s="87">
        <v>38083.655821350003</v>
      </c>
      <c r="H35" s="87">
        <v>28590.314202100002</v>
      </c>
      <c r="I35" s="87">
        <v>58281.271091200004</v>
      </c>
      <c r="J35" s="87">
        <v>43710.953318400003</v>
      </c>
      <c r="K35" s="87">
        <v>34066.348518525003</v>
      </c>
    </row>
    <row r="36" spans="1:11" x14ac:dyDescent="0.2">
      <c r="A36" s="81"/>
      <c r="B36" s="67" t="s">
        <v>89</v>
      </c>
      <c r="C36" s="331" t="s">
        <v>8</v>
      </c>
      <c r="D36" s="331"/>
      <c r="E36" s="332"/>
      <c r="F36" s="87">
        <v>145082.2521976</v>
      </c>
      <c r="G36" s="87">
        <v>145082.2521976</v>
      </c>
      <c r="H36" s="87">
        <v>131089.4919241</v>
      </c>
      <c r="I36" s="87">
        <v>169664.0326717</v>
      </c>
      <c r="J36" s="87">
        <v>169664.0326717</v>
      </c>
      <c r="K36" s="87">
        <v>159700.52636545</v>
      </c>
    </row>
    <row r="37" spans="1:11" x14ac:dyDescent="0.2">
      <c r="A37" s="81"/>
      <c r="B37" s="68" t="s">
        <v>90</v>
      </c>
      <c r="C37" s="331" t="s">
        <v>9</v>
      </c>
      <c r="D37" s="331"/>
      <c r="E37" s="332"/>
      <c r="F37" s="89">
        <v>72203.411806000004</v>
      </c>
      <c r="G37" s="89">
        <v>108305.11770900001</v>
      </c>
      <c r="H37" s="89">
        <v>108305.11770900001</v>
      </c>
      <c r="I37" s="89">
        <v>2511.4489509999999</v>
      </c>
      <c r="J37" s="89">
        <v>3767.1734264999996</v>
      </c>
      <c r="K37" s="89">
        <v>3767.1734264999996</v>
      </c>
    </row>
    <row r="38" spans="1:11" x14ac:dyDescent="0.2">
      <c r="A38" s="81"/>
      <c r="B38" s="333" t="s">
        <v>97</v>
      </c>
      <c r="C38" s="334"/>
      <c r="D38" s="334"/>
      <c r="E38" s="335"/>
      <c r="F38" s="148">
        <f>SUM(F28:F37)</f>
        <v>270746.76407400001</v>
      </c>
      <c r="G38" s="148">
        <f>SUM(G28:G37)</f>
        <v>292580.33738895005</v>
      </c>
      <c r="H38" s="148">
        <f>SUM(H28:H37)</f>
        <v>269091.06455870002</v>
      </c>
      <c r="I38" s="148">
        <f>SUM(I28:I37)</f>
        <v>256755.55611509999</v>
      </c>
      <c r="J38" s="148">
        <f t="shared" ref="J38:K38" si="1">SUM(J28:J37)</f>
        <v>218366.10765660001</v>
      </c>
      <c r="K38" s="148">
        <f t="shared" si="1"/>
        <v>198757.99655047501</v>
      </c>
    </row>
    <row r="39" spans="1:11" x14ac:dyDescent="0.2">
      <c r="F39" s="184"/>
      <c r="G39" s="184"/>
      <c r="H39" s="184"/>
    </row>
    <row r="41" spans="1:11" x14ac:dyDescent="0.2">
      <c r="A41" s="250" t="s">
        <v>93</v>
      </c>
      <c r="B41" s="319" t="s">
        <v>103</v>
      </c>
      <c r="C41" s="319"/>
      <c r="D41" s="319"/>
      <c r="E41" s="319"/>
      <c r="F41" s="319"/>
      <c r="G41" s="319"/>
      <c r="H41" s="319"/>
    </row>
    <row r="42" spans="1:11" x14ac:dyDescent="0.2">
      <c r="A42" s="250"/>
      <c r="B42" s="319"/>
      <c r="C42" s="319"/>
      <c r="D42" s="319"/>
      <c r="E42" s="319"/>
      <c r="F42" s="319"/>
      <c r="G42" s="319"/>
      <c r="H42" s="319"/>
    </row>
    <row r="43" spans="1:11" ht="14.45" customHeight="1" x14ac:dyDescent="0.2">
      <c r="A43" s="81"/>
      <c r="B43" s="341" t="s">
        <v>11</v>
      </c>
      <c r="C43" s="343" t="s">
        <v>19</v>
      </c>
      <c r="D43" s="344"/>
      <c r="E43" s="345"/>
      <c r="F43" s="320" t="s">
        <v>249</v>
      </c>
      <c r="G43" s="330"/>
      <c r="H43" s="330"/>
      <c r="I43" s="320" t="s">
        <v>247</v>
      </c>
      <c r="J43" s="330"/>
      <c r="K43" s="330"/>
    </row>
    <row r="44" spans="1:11" ht="33.75" x14ac:dyDescent="0.2">
      <c r="A44" s="56"/>
      <c r="B44" s="342"/>
      <c r="C44" s="346"/>
      <c r="D44" s="347"/>
      <c r="E44" s="348"/>
      <c r="F44" s="142" t="s">
        <v>59</v>
      </c>
      <c r="G44" s="140" t="s">
        <v>78</v>
      </c>
      <c r="H44" s="139" t="s">
        <v>79</v>
      </c>
      <c r="I44" s="142" t="s">
        <v>59</v>
      </c>
      <c r="J44" s="140" t="s">
        <v>78</v>
      </c>
      <c r="K44" s="139" t="s">
        <v>79</v>
      </c>
    </row>
    <row r="45" spans="1:11" x14ac:dyDescent="0.2">
      <c r="A45" s="57"/>
      <c r="B45" s="74" t="s">
        <v>17</v>
      </c>
      <c r="C45" s="354" t="s">
        <v>22</v>
      </c>
      <c r="D45" s="355"/>
      <c r="E45" s="356"/>
      <c r="F45" s="75" t="s">
        <v>28</v>
      </c>
      <c r="G45" s="75" t="s">
        <v>29</v>
      </c>
      <c r="H45" s="75" t="s">
        <v>30</v>
      </c>
      <c r="I45" s="75" t="s">
        <v>28</v>
      </c>
      <c r="J45" s="75" t="s">
        <v>29</v>
      </c>
      <c r="K45" s="75" t="s">
        <v>30</v>
      </c>
    </row>
    <row r="46" spans="1:11" x14ac:dyDescent="0.2">
      <c r="A46" s="57"/>
      <c r="B46" s="66" t="s">
        <v>77</v>
      </c>
      <c r="C46" s="331" t="s">
        <v>0</v>
      </c>
      <c r="D46" s="331"/>
      <c r="E46" s="332"/>
      <c r="F46" s="86">
        <v>871960.74054000003</v>
      </c>
      <c r="G46" s="86">
        <v>0</v>
      </c>
      <c r="H46" s="87">
        <v>0</v>
      </c>
      <c r="I46" s="86">
        <v>527192.259968</v>
      </c>
      <c r="J46" s="86">
        <v>0</v>
      </c>
      <c r="K46" s="87">
        <v>0</v>
      </c>
    </row>
    <row r="47" spans="1:11" x14ac:dyDescent="0.2">
      <c r="A47" s="81"/>
      <c r="B47" s="67" t="s">
        <v>82</v>
      </c>
      <c r="C47" s="339" t="s">
        <v>1</v>
      </c>
      <c r="D47" s="339"/>
      <c r="E47" s="340"/>
      <c r="F47" s="87">
        <v>0</v>
      </c>
      <c r="G47" s="87">
        <v>0</v>
      </c>
      <c r="H47" s="88">
        <v>0</v>
      </c>
      <c r="I47" s="87">
        <v>0</v>
      </c>
      <c r="J47" s="87">
        <v>0</v>
      </c>
      <c r="K47" s="88">
        <v>0</v>
      </c>
    </row>
    <row r="48" spans="1:11" x14ac:dyDescent="0.2">
      <c r="A48" s="57"/>
      <c r="B48" s="67" t="s">
        <v>83</v>
      </c>
      <c r="C48" s="331" t="s">
        <v>98</v>
      </c>
      <c r="D48" s="331"/>
      <c r="E48" s="332"/>
      <c r="F48" s="87">
        <v>0</v>
      </c>
      <c r="G48" s="87">
        <v>0</v>
      </c>
      <c r="H48" s="88">
        <v>0</v>
      </c>
      <c r="I48" s="87">
        <v>0</v>
      </c>
      <c r="J48" s="87">
        <v>0</v>
      </c>
      <c r="K48" s="88">
        <v>0</v>
      </c>
    </row>
    <row r="49" spans="1:11" x14ac:dyDescent="0.2">
      <c r="A49" s="81"/>
      <c r="B49" s="67" t="s">
        <v>84</v>
      </c>
      <c r="C49" s="331" t="s">
        <v>99</v>
      </c>
      <c r="D49" s="331"/>
      <c r="E49" s="332"/>
      <c r="F49" s="87">
        <v>0</v>
      </c>
      <c r="G49" s="87">
        <v>0</v>
      </c>
      <c r="H49" s="87">
        <v>0</v>
      </c>
      <c r="I49" s="87">
        <v>0</v>
      </c>
      <c r="J49" s="87">
        <v>0</v>
      </c>
      <c r="K49" s="87">
        <v>0</v>
      </c>
    </row>
    <row r="50" spans="1:11" x14ac:dyDescent="0.2">
      <c r="A50" s="81"/>
      <c r="B50" s="68" t="s">
        <v>85</v>
      </c>
      <c r="C50" s="331" t="s">
        <v>7</v>
      </c>
      <c r="D50" s="331"/>
      <c r="E50" s="332"/>
      <c r="F50" s="87">
        <v>0</v>
      </c>
      <c r="G50" s="87">
        <v>0</v>
      </c>
      <c r="H50" s="88">
        <v>0</v>
      </c>
      <c r="I50" s="87">
        <v>0</v>
      </c>
      <c r="J50" s="87">
        <v>0</v>
      </c>
      <c r="K50" s="88">
        <v>0</v>
      </c>
    </row>
    <row r="51" spans="1:11" x14ac:dyDescent="0.2">
      <c r="A51" s="81"/>
      <c r="B51" s="67" t="s">
        <v>86</v>
      </c>
      <c r="C51" s="331" t="s">
        <v>8</v>
      </c>
      <c r="D51" s="331"/>
      <c r="E51" s="332"/>
      <c r="F51" s="87">
        <v>0</v>
      </c>
      <c r="G51" s="87">
        <v>0</v>
      </c>
      <c r="H51" s="88">
        <v>0</v>
      </c>
      <c r="I51" s="87">
        <v>0</v>
      </c>
      <c r="J51" s="87">
        <v>0</v>
      </c>
      <c r="K51" s="88">
        <v>0</v>
      </c>
    </row>
    <row r="52" spans="1:11" x14ac:dyDescent="0.2">
      <c r="A52" s="81"/>
      <c r="B52" s="149" t="s">
        <v>87</v>
      </c>
      <c r="C52" s="254" t="s">
        <v>102</v>
      </c>
      <c r="D52" s="254"/>
      <c r="E52" s="255"/>
      <c r="F52" s="87">
        <v>0</v>
      </c>
      <c r="G52" s="87">
        <v>0</v>
      </c>
      <c r="H52" s="88">
        <v>0</v>
      </c>
      <c r="I52" s="87">
        <v>0</v>
      </c>
      <c r="J52" s="87">
        <v>0</v>
      </c>
      <c r="K52" s="88">
        <v>0</v>
      </c>
    </row>
    <row r="53" spans="1:11" x14ac:dyDescent="0.2">
      <c r="A53" s="81"/>
      <c r="B53" s="333" t="s">
        <v>97</v>
      </c>
      <c r="C53" s="334"/>
      <c r="D53" s="334"/>
      <c r="E53" s="335"/>
      <c r="F53" s="148">
        <f>SUM(F46:F52)</f>
        <v>871960.74054000003</v>
      </c>
      <c r="G53" s="148">
        <f t="shared" ref="G53:K53" si="2">SUM(G46:G52)</f>
        <v>0</v>
      </c>
      <c r="H53" s="148">
        <f t="shared" si="2"/>
        <v>0</v>
      </c>
      <c r="I53" s="148">
        <f t="shared" si="2"/>
        <v>527192.259968</v>
      </c>
      <c r="J53" s="148">
        <f t="shared" si="2"/>
        <v>0</v>
      </c>
      <c r="K53" s="148">
        <f t="shared" si="2"/>
        <v>0</v>
      </c>
    </row>
    <row r="56" spans="1:11" x14ac:dyDescent="0.2">
      <c r="A56" s="250" t="s">
        <v>94</v>
      </c>
      <c r="B56" s="319" t="s">
        <v>113</v>
      </c>
      <c r="C56" s="319"/>
      <c r="D56" s="319"/>
      <c r="E56" s="319"/>
      <c r="F56" s="319"/>
      <c r="G56" s="319"/>
      <c r="H56" s="319"/>
    </row>
    <row r="57" spans="1:11" x14ac:dyDescent="0.2">
      <c r="A57" s="250"/>
      <c r="B57" s="319"/>
      <c r="C57" s="319"/>
      <c r="D57" s="319"/>
      <c r="E57" s="319"/>
      <c r="F57" s="319"/>
      <c r="G57" s="319"/>
      <c r="H57" s="319"/>
    </row>
    <row r="58" spans="1:11" ht="14.45" customHeight="1" x14ac:dyDescent="0.2">
      <c r="A58" s="250"/>
      <c r="B58" s="307" t="s">
        <v>11</v>
      </c>
      <c r="C58" s="309" t="s">
        <v>104</v>
      </c>
      <c r="D58" s="310"/>
      <c r="E58" s="311"/>
      <c r="F58" s="320" t="s">
        <v>249</v>
      </c>
      <c r="G58" s="330"/>
      <c r="H58" s="330"/>
      <c r="I58" s="320" t="s">
        <v>245</v>
      </c>
      <c r="J58" s="330"/>
      <c r="K58" s="330"/>
    </row>
    <row r="59" spans="1:11" ht="33.75" x14ac:dyDescent="0.2">
      <c r="A59" s="250"/>
      <c r="B59" s="308"/>
      <c r="C59" s="312"/>
      <c r="D59" s="313"/>
      <c r="E59" s="314"/>
      <c r="F59" s="143" t="s">
        <v>105</v>
      </c>
      <c r="G59" s="144" t="s">
        <v>106</v>
      </c>
      <c r="H59" s="253" t="s">
        <v>26</v>
      </c>
      <c r="I59" s="143" t="s">
        <v>105</v>
      </c>
      <c r="J59" s="144" t="s">
        <v>106</v>
      </c>
      <c r="K59" s="253" t="s">
        <v>26</v>
      </c>
    </row>
    <row r="60" spans="1:11" x14ac:dyDescent="0.2">
      <c r="A60" s="250"/>
      <c r="B60" s="257" t="s">
        <v>17</v>
      </c>
      <c r="C60" s="360" t="s">
        <v>22</v>
      </c>
      <c r="D60" s="361"/>
      <c r="E60" s="362"/>
      <c r="F60" s="74" t="s">
        <v>28</v>
      </c>
      <c r="G60" s="160" t="s">
        <v>29</v>
      </c>
      <c r="H60" s="160" t="s">
        <v>30</v>
      </c>
      <c r="I60" s="161" t="s">
        <v>28</v>
      </c>
      <c r="J60" s="160" t="s">
        <v>29</v>
      </c>
      <c r="K60" s="160" t="s">
        <v>30</v>
      </c>
    </row>
    <row r="61" spans="1:11" x14ac:dyDescent="0.2">
      <c r="A61" s="81"/>
      <c r="B61" s="68" t="s">
        <v>77</v>
      </c>
      <c r="C61" s="321" t="s">
        <v>107</v>
      </c>
      <c r="D61" s="321"/>
      <c r="E61" s="322"/>
      <c r="F61" s="93">
        <v>0</v>
      </c>
      <c r="G61" s="93">
        <v>0</v>
      </c>
      <c r="H61" s="93">
        <v>0</v>
      </c>
      <c r="I61" s="93">
        <v>0</v>
      </c>
      <c r="J61" s="93">
        <v>0</v>
      </c>
      <c r="K61" s="93">
        <v>0</v>
      </c>
    </row>
    <row r="62" spans="1:11" x14ac:dyDescent="0.2">
      <c r="A62" s="81"/>
      <c r="B62" s="68"/>
      <c r="C62" s="252" t="s">
        <v>80</v>
      </c>
      <c r="D62" s="321" t="s">
        <v>108</v>
      </c>
      <c r="E62" s="322"/>
      <c r="F62" s="79">
        <v>0</v>
      </c>
      <c r="G62" s="79">
        <v>0</v>
      </c>
      <c r="H62" s="79">
        <v>0</v>
      </c>
      <c r="I62" s="79">
        <v>0</v>
      </c>
      <c r="J62" s="79">
        <v>0</v>
      </c>
      <c r="K62" s="79">
        <v>0</v>
      </c>
    </row>
    <row r="63" spans="1:11" x14ac:dyDescent="0.2">
      <c r="A63" s="81"/>
      <c r="B63" s="68"/>
      <c r="C63" s="252" t="s">
        <v>81</v>
      </c>
      <c r="D63" s="321" t="s">
        <v>109</v>
      </c>
      <c r="E63" s="322"/>
      <c r="F63" s="79">
        <v>0</v>
      </c>
      <c r="G63" s="79">
        <v>0</v>
      </c>
      <c r="H63" s="79">
        <v>0</v>
      </c>
      <c r="I63" s="79">
        <v>0</v>
      </c>
      <c r="J63" s="79">
        <v>0</v>
      </c>
      <c r="K63" s="79">
        <v>0</v>
      </c>
    </row>
    <row r="64" spans="1:11" x14ac:dyDescent="0.2">
      <c r="A64" s="81"/>
      <c r="B64" s="68"/>
      <c r="C64" s="252" t="s">
        <v>93</v>
      </c>
      <c r="D64" s="321" t="s">
        <v>110</v>
      </c>
      <c r="E64" s="322"/>
      <c r="F64" s="79">
        <v>0</v>
      </c>
      <c r="G64" s="79">
        <v>0</v>
      </c>
      <c r="H64" s="79">
        <v>0</v>
      </c>
      <c r="I64" s="79">
        <v>0</v>
      </c>
      <c r="J64" s="79">
        <v>0</v>
      </c>
      <c r="K64" s="79">
        <v>0</v>
      </c>
    </row>
    <row r="65" spans="1:11" x14ac:dyDescent="0.2">
      <c r="A65" s="81"/>
      <c r="B65" s="68"/>
      <c r="C65" s="252" t="s">
        <v>94</v>
      </c>
      <c r="D65" s="321" t="s">
        <v>111</v>
      </c>
      <c r="E65" s="322"/>
      <c r="F65" s="79">
        <v>0</v>
      </c>
      <c r="G65" s="79">
        <v>0</v>
      </c>
      <c r="H65" s="79">
        <v>0</v>
      </c>
      <c r="I65" s="79">
        <v>0</v>
      </c>
      <c r="J65" s="79">
        <v>0</v>
      </c>
      <c r="K65" s="79">
        <v>0</v>
      </c>
    </row>
    <row r="66" spans="1:11" x14ac:dyDescent="0.2">
      <c r="A66" s="81"/>
      <c r="B66" s="68" t="s">
        <v>82</v>
      </c>
      <c r="C66" s="321" t="s">
        <v>112</v>
      </c>
      <c r="D66" s="321"/>
      <c r="E66" s="322"/>
      <c r="F66" s="79">
        <v>0</v>
      </c>
      <c r="G66" s="79">
        <v>0</v>
      </c>
      <c r="H66" s="79"/>
      <c r="I66" s="79">
        <v>0</v>
      </c>
      <c r="J66" s="79">
        <v>0</v>
      </c>
      <c r="K66" s="79"/>
    </row>
    <row r="67" spans="1:11" x14ac:dyDescent="0.2">
      <c r="A67" s="96"/>
      <c r="B67" s="323" t="s">
        <v>97</v>
      </c>
      <c r="C67" s="324"/>
      <c r="D67" s="324"/>
      <c r="E67" s="325"/>
      <c r="F67" s="93">
        <f>SUM(F61:F66)</f>
        <v>0</v>
      </c>
      <c r="G67" s="93">
        <f t="shared" ref="G67:K67" si="3">SUM(G61:G66)</f>
        <v>0</v>
      </c>
      <c r="H67" s="93">
        <f t="shared" si="3"/>
        <v>0</v>
      </c>
      <c r="I67" s="93">
        <f t="shared" si="3"/>
        <v>0</v>
      </c>
      <c r="J67" s="93">
        <f t="shared" si="3"/>
        <v>0</v>
      </c>
      <c r="K67" s="93">
        <f t="shared" si="3"/>
        <v>0</v>
      </c>
    </row>
    <row r="70" spans="1:11" x14ac:dyDescent="0.2">
      <c r="A70" s="250" t="s">
        <v>95</v>
      </c>
      <c r="B70" s="319" t="s">
        <v>114</v>
      </c>
      <c r="C70" s="319"/>
      <c r="D70" s="319"/>
      <c r="E70" s="319"/>
      <c r="F70" s="319"/>
      <c r="G70" s="319"/>
      <c r="H70" s="319"/>
    </row>
    <row r="71" spans="1:11" x14ac:dyDescent="0.2">
      <c r="A71" s="250"/>
      <c r="B71" s="250"/>
      <c r="C71" s="250"/>
      <c r="D71" s="250"/>
      <c r="E71" s="250"/>
      <c r="F71" s="250"/>
      <c r="G71" s="250"/>
      <c r="H71" s="250"/>
    </row>
    <row r="72" spans="1:11" ht="14.45" customHeight="1" x14ac:dyDescent="0.2">
      <c r="A72" s="250"/>
      <c r="B72" s="307" t="s">
        <v>11</v>
      </c>
      <c r="C72" s="309" t="s">
        <v>104</v>
      </c>
      <c r="D72" s="310"/>
      <c r="E72" s="311"/>
      <c r="F72" s="320" t="s">
        <v>249</v>
      </c>
      <c r="G72" s="320"/>
      <c r="H72" s="320" t="s">
        <v>245</v>
      </c>
      <c r="I72" s="320"/>
      <c r="J72" s="250"/>
      <c r="K72" s="250"/>
    </row>
    <row r="73" spans="1:11" ht="33.75" x14ac:dyDescent="0.2">
      <c r="A73" s="250"/>
      <c r="B73" s="308"/>
      <c r="C73" s="312"/>
      <c r="D73" s="313"/>
      <c r="E73" s="314"/>
      <c r="F73" s="144" t="s">
        <v>106</v>
      </c>
      <c r="G73" s="139" t="s">
        <v>26</v>
      </c>
      <c r="H73" s="144" t="s">
        <v>106</v>
      </c>
      <c r="I73" s="139" t="s">
        <v>26</v>
      </c>
    </row>
    <row r="74" spans="1:11" x14ac:dyDescent="0.2">
      <c r="A74" s="55"/>
      <c r="B74" s="257" t="s">
        <v>17</v>
      </c>
      <c r="C74" s="358" t="s">
        <v>22</v>
      </c>
      <c r="D74" s="359"/>
      <c r="E74" s="359"/>
      <c r="F74" s="74" t="s">
        <v>28</v>
      </c>
      <c r="G74" s="74" t="s">
        <v>29</v>
      </c>
      <c r="H74" s="74" t="s">
        <v>28</v>
      </c>
      <c r="I74" s="74" t="s">
        <v>29</v>
      </c>
    </row>
    <row r="75" spans="1:11" x14ac:dyDescent="0.2">
      <c r="A75" s="81"/>
      <c r="B75" s="68" t="s">
        <v>77</v>
      </c>
      <c r="C75" s="315" t="s">
        <v>115</v>
      </c>
      <c r="D75" s="315"/>
      <c r="E75" s="315"/>
      <c r="F75" s="79">
        <v>0</v>
      </c>
      <c r="G75" s="79">
        <v>0</v>
      </c>
      <c r="H75" s="79">
        <v>0</v>
      </c>
      <c r="I75" s="79">
        <v>0</v>
      </c>
    </row>
    <row r="76" spans="1:11" x14ac:dyDescent="0.2">
      <c r="A76" s="81"/>
      <c r="B76" s="68" t="s">
        <v>82</v>
      </c>
      <c r="C76" s="315" t="s">
        <v>116</v>
      </c>
      <c r="D76" s="315"/>
      <c r="E76" s="315"/>
      <c r="F76" s="79">
        <v>0</v>
      </c>
      <c r="G76" s="79">
        <v>0</v>
      </c>
      <c r="H76" s="79">
        <v>0</v>
      </c>
      <c r="I76" s="79">
        <v>0</v>
      </c>
    </row>
    <row r="77" spans="1:11" x14ac:dyDescent="0.2">
      <c r="A77" s="81"/>
      <c r="B77" s="68" t="s">
        <v>83</v>
      </c>
      <c r="C77" s="315" t="s">
        <v>117</v>
      </c>
      <c r="D77" s="315"/>
      <c r="E77" s="315"/>
      <c r="F77" s="95"/>
      <c r="G77" s="79">
        <v>0</v>
      </c>
      <c r="H77" s="95"/>
      <c r="I77" s="79">
        <v>0</v>
      </c>
    </row>
    <row r="78" spans="1:11" x14ac:dyDescent="0.2">
      <c r="A78" s="81"/>
      <c r="B78" s="68" t="s">
        <v>84</v>
      </c>
      <c r="C78" s="315" t="s">
        <v>118</v>
      </c>
      <c r="D78" s="315"/>
      <c r="E78" s="315"/>
      <c r="F78" s="79">
        <v>0</v>
      </c>
      <c r="G78" s="79">
        <v>0</v>
      </c>
      <c r="H78" s="79">
        <v>0</v>
      </c>
      <c r="I78" s="79">
        <v>0</v>
      </c>
    </row>
    <row r="79" spans="1:11" x14ac:dyDescent="0.2">
      <c r="A79" s="81"/>
      <c r="B79" s="68" t="s">
        <v>85</v>
      </c>
      <c r="C79" s="315" t="s">
        <v>119</v>
      </c>
      <c r="D79" s="315"/>
      <c r="E79" s="315"/>
      <c r="F79" s="79">
        <v>0</v>
      </c>
      <c r="G79" s="79">
        <v>0</v>
      </c>
      <c r="H79" s="79">
        <v>0</v>
      </c>
      <c r="I79" s="79">
        <v>0</v>
      </c>
    </row>
    <row r="80" spans="1:11" x14ac:dyDescent="0.2">
      <c r="A80" s="81"/>
      <c r="B80" s="68" t="s">
        <v>86</v>
      </c>
      <c r="C80" s="315" t="s">
        <v>120</v>
      </c>
      <c r="D80" s="315"/>
      <c r="E80" s="315"/>
      <c r="F80" s="79">
        <v>0</v>
      </c>
      <c r="G80" s="79">
        <v>0</v>
      </c>
      <c r="H80" s="79">
        <v>0</v>
      </c>
      <c r="I80" s="79">
        <v>0</v>
      </c>
    </row>
    <row r="81" spans="1:9" x14ac:dyDescent="0.2">
      <c r="A81" s="81"/>
      <c r="B81" s="97" t="s">
        <v>87</v>
      </c>
      <c r="C81" s="316" t="s">
        <v>121</v>
      </c>
      <c r="D81" s="316"/>
      <c r="E81" s="316"/>
      <c r="F81" s="95"/>
      <c r="G81" s="79">
        <v>0</v>
      </c>
      <c r="H81" s="95"/>
      <c r="I81" s="79">
        <v>0</v>
      </c>
    </row>
    <row r="82" spans="1:9" x14ac:dyDescent="0.2">
      <c r="A82" s="81"/>
      <c r="B82" s="306" t="s">
        <v>97</v>
      </c>
      <c r="C82" s="306"/>
      <c r="D82" s="306"/>
      <c r="E82" s="306"/>
      <c r="F82" s="79">
        <f>SUM(F75,F76,F77:F78,F79,F80:F81)</f>
        <v>0</v>
      </c>
      <c r="G82" s="79">
        <f>SUM(G75,G76,G77:G78,G79,G80:G81)</f>
        <v>0</v>
      </c>
      <c r="H82" s="79">
        <f>SUM(H75,H76,H77:H78,H79,H80:H81)</f>
        <v>0</v>
      </c>
      <c r="I82" s="79">
        <f>SUM(I75,I76,I77:I78,I79,I80:I81)</f>
        <v>0</v>
      </c>
    </row>
    <row r="85" spans="1:9" x14ac:dyDescent="0.2">
      <c r="A85" s="250" t="s">
        <v>96</v>
      </c>
      <c r="B85" s="319" t="s">
        <v>122</v>
      </c>
      <c r="C85" s="319"/>
      <c r="D85" s="319"/>
      <c r="E85" s="319"/>
      <c r="F85" s="319"/>
      <c r="G85" s="319"/>
      <c r="H85" s="319"/>
    </row>
    <row r="86" spans="1:9" x14ac:dyDescent="0.2">
      <c r="A86" s="250"/>
      <c r="B86" s="302"/>
      <c r="C86" s="303"/>
      <c r="D86" s="303"/>
      <c r="E86" s="304"/>
      <c r="F86" s="251" t="s">
        <v>249</v>
      </c>
      <c r="G86" s="251" t="s">
        <v>247</v>
      </c>
      <c r="H86" s="250"/>
    </row>
    <row r="87" spans="1:9" x14ac:dyDescent="0.2">
      <c r="A87" s="81"/>
      <c r="B87" s="301" t="s">
        <v>123</v>
      </c>
      <c r="C87" s="301"/>
      <c r="D87" s="301"/>
      <c r="E87" s="301"/>
      <c r="F87" s="93">
        <f>H20+H38+H53+H67+G82</f>
        <v>13646052.195567749</v>
      </c>
      <c r="G87" s="93">
        <f>K20+K38+K53+K67+I82</f>
        <v>14331676.405874725</v>
      </c>
      <c r="H87" s="98"/>
    </row>
    <row r="88" spans="1:9" x14ac:dyDescent="0.2">
      <c r="A88" s="81"/>
      <c r="B88" s="301" t="s">
        <v>124</v>
      </c>
      <c r="C88" s="301"/>
      <c r="D88" s="301"/>
      <c r="E88" s="301"/>
      <c r="F88" s="99">
        <v>0</v>
      </c>
      <c r="G88" s="93">
        <v>0</v>
      </c>
      <c r="H88" s="98"/>
    </row>
    <row r="91" spans="1:9" x14ac:dyDescent="0.2">
      <c r="A91" s="3" t="s">
        <v>22</v>
      </c>
      <c r="B91" s="6" t="s">
        <v>125</v>
      </c>
    </row>
    <row r="92" spans="1:9" x14ac:dyDescent="0.2">
      <c r="A92" s="22"/>
      <c r="B92" s="8" t="s">
        <v>76</v>
      </c>
    </row>
  </sheetData>
  <mergeCells count="83">
    <mergeCell ref="C13:E13"/>
    <mergeCell ref="J3:K3"/>
    <mergeCell ref="B4:H4"/>
    <mergeCell ref="B5:H5"/>
    <mergeCell ref="B6:B7"/>
    <mergeCell ref="C6:E7"/>
    <mergeCell ref="F6:H6"/>
    <mergeCell ref="I6:K6"/>
    <mergeCell ref="C8:E8"/>
    <mergeCell ref="C9:E9"/>
    <mergeCell ref="C10:E10"/>
    <mergeCell ref="C11:E11"/>
    <mergeCell ref="C12:E12"/>
    <mergeCell ref="I25:K25"/>
    <mergeCell ref="C14:E14"/>
    <mergeCell ref="C15:E15"/>
    <mergeCell ref="C16:E16"/>
    <mergeCell ref="C17:E17"/>
    <mergeCell ref="C18:E18"/>
    <mergeCell ref="C19:E19"/>
    <mergeCell ref="C32:E32"/>
    <mergeCell ref="B20:E20"/>
    <mergeCell ref="B23:H23"/>
    <mergeCell ref="B25:B26"/>
    <mergeCell ref="C25:E26"/>
    <mergeCell ref="F25:H25"/>
    <mergeCell ref="C27:E27"/>
    <mergeCell ref="C28:E28"/>
    <mergeCell ref="C29:E29"/>
    <mergeCell ref="C30:E30"/>
    <mergeCell ref="C31:E31"/>
    <mergeCell ref="I43:K43"/>
    <mergeCell ref="C33:E33"/>
    <mergeCell ref="C34:E34"/>
    <mergeCell ref="C35:E35"/>
    <mergeCell ref="C36:E36"/>
    <mergeCell ref="C37:E37"/>
    <mergeCell ref="B38:E38"/>
    <mergeCell ref="C50:E50"/>
    <mergeCell ref="B41:H41"/>
    <mergeCell ref="B42:H42"/>
    <mergeCell ref="B43:B44"/>
    <mergeCell ref="C43:E44"/>
    <mergeCell ref="F43:H43"/>
    <mergeCell ref="C45:E45"/>
    <mergeCell ref="C46:E46"/>
    <mergeCell ref="C47:E47"/>
    <mergeCell ref="C48:E48"/>
    <mergeCell ref="C49:E49"/>
    <mergeCell ref="D64:E64"/>
    <mergeCell ref="C51:E51"/>
    <mergeCell ref="B53:E53"/>
    <mergeCell ref="B56:H56"/>
    <mergeCell ref="B57:H57"/>
    <mergeCell ref="B58:B59"/>
    <mergeCell ref="C58:E59"/>
    <mergeCell ref="F58:H58"/>
    <mergeCell ref="I58:K58"/>
    <mergeCell ref="C60:E60"/>
    <mergeCell ref="C61:E61"/>
    <mergeCell ref="D62:E62"/>
    <mergeCell ref="D63:E63"/>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B88:E88"/>
    <mergeCell ref="C80:E80"/>
    <mergeCell ref="C81:E81"/>
    <mergeCell ref="B82:E82"/>
    <mergeCell ref="B85:H85"/>
    <mergeCell ref="B86:E86"/>
    <mergeCell ref="B87:E87"/>
  </mergeCells>
  <dataValidations count="1">
    <dataValidation type="decimal" operator="greaterThanOrEqual" allowBlank="1" showInputMessage="1" showErrorMessage="1" promptTitle="Data Input" prompt="Enter value greater than or equal to zero" sqref="K12 H17:H18 H12 F10:G18 F19:K19 H31:H33 F47:G52 F35:K36 F29:G33 I47:J52 K49 I10:J18 H49 H46 K46 K17:K18 K31:K33 I29:J33">
      <formula1>0</formula1>
    </dataValidation>
  </dataValidations>
  <pageMargins left="0.70866141732283472" right="0.70866141732283472" top="0.74803149606299213" bottom="0.74803149606299213" header="0.31496062992125984" footer="0.31496062992125984"/>
  <pageSetup paperSize="5" scale="66" orientation="portrait"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election activeCell="L93" sqref="L93"/>
    </sheetView>
  </sheetViews>
  <sheetFormatPr defaultColWidth="8.7109375" defaultRowHeight="11.25" x14ac:dyDescent="0.2"/>
  <cols>
    <col min="1" max="1" width="4.140625" style="6" customWidth="1"/>
    <col min="2" max="2" width="4" style="65" customWidth="1"/>
    <col min="3" max="3" width="4.28515625" style="6" customWidth="1"/>
    <col min="4" max="4" width="3.85546875" style="6" customWidth="1"/>
    <col min="5" max="5" width="39.140625" style="6" customWidth="1"/>
    <col min="6" max="6" width="9.7109375" style="6" bestFit="1" customWidth="1"/>
    <col min="7" max="7" width="10.5703125" style="6" customWidth="1"/>
    <col min="8" max="8" width="10.42578125" style="6" customWidth="1"/>
    <col min="9" max="16384" width="8.7109375" style="6"/>
  </cols>
  <sheetData>
    <row r="1" spans="1:12" x14ac:dyDescent="0.2">
      <c r="B1" s="65" t="s">
        <v>129</v>
      </c>
    </row>
    <row r="2" spans="1:12" x14ac:dyDescent="0.2">
      <c r="B2" s="3" t="s">
        <v>17</v>
      </c>
      <c r="C2" s="6" t="s">
        <v>16</v>
      </c>
    </row>
    <row r="3" spans="1:12" ht="10.5" customHeight="1" x14ac:dyDescent="0.2">
      <c r="B3" s="3"/>
      <c r="J3" s="357" t="s">
        <v>57</v>
      </c>
      <c r="K3" s="357"/>
    </row>
    <row r="4" spans="1:12" x14ac:dyDescent="0.2">
      <c r="A4" s="53" t="s">
        <v>80</v>
      </c>
      <c r="B4" s="353" t="s">
        <v>100</v>
      </c>
      <c r="C4" s="353"/>
      <c r="D4" s="353"/>
      <c r="E4" s="353"/>
      <c r="F4" s="353"/>
      <c r="G4" s="353"/>
      <c r="H4" s="353"/>
    </row>
    <row r="5" spans="1:12" ht="10.5" customHeight="1" x14ac:dyDescent="0.2">
      <c r="A5" s="53"/>
      <c r="B5" s="349"/>
      <c r="C5" s="349"/>
      <c r="D5" s="349"/>
      <c r="E5" s="349"/>
      <c r="F5" s="349"/>
      <c r="G5" s="349"/>
      <c r="H5" s="349"/>
      <c r="K5" s="162"/>
      <c r="L5" s="162"/>
    </row>
    <row r="6" spans="1:12" ht="14.45" customHeight="1" x14ac:dyDescent="0.2">
      <c r="A6" s="211"/>
      <c r="B6" s="341" t="s">
        <v>11</v>
      </c>
      <c r="C6" s="343" t="s">
        <v>19</v>
      </c>
      <c r="D6" s="344"/>
      <c r="E6" s="345"/>
      <c r="F6" s="320" t="s">
        <v>245</v>
      </c>
      <c r="G6" s="330"/>
      <c r="H6" s="330"/>
      <c r="I6" s="320" t="s">
        <v>243</v>
      </c>
      <c r="J6" s="330"/>
      <c r="K6" s="330"/>
    </row>
    <row r="7" spans="1:12" ht="20.45" customHeight="1" x14ac:dyDescent="0.2">
      <c r="A7" s="56"/>
      <c r="B7" s="342"/>
      <c r="C7" s="346"/>
      <c r="D7" s="347"/>
      <c r="E7" s="348"/>
      <c r="F7" s="139" t="s">
        <v>59</v>
      </c>
      <c r="G7" s="140" t="s">
        <v>78</v>
      </c>
      <c r="H7" s="139" t="s">
        <v>79</v>
      </c>
      <c r="I7" s="139" t="s">
        <v>59</v>
      </c>
      <c r="J7" s="140" t="s">
        <v>78</v>
      </c>
      <c r="K7" s="139" t="s">
        <v>79</v>
      </c>
    </row>
    <row r="8" spans="1:12" s="40" customFormat="1" ht="10.5" customHeight="1" x14ac:dyDescent="0.15">
      <c r="A8" s="73"/>
      <c r="B8" s="74" t="s">
        <v>17</v>
      </c>
      <c r="C8" s="354" t="s">
        <v>22</v>
      </c>
      <c r="D8" s="355"/>
      <c r="E8" s="356"/>
      <c r="F8" s="75" t="s">
        <v>28</v>
      </c>
      <c r="G8" s="75" t="s">
        <v>29</v>
      </c>
      <c r="H8" s="75" t="s">
        <v>30</v>
      </c>
      <c r="I8" s="75" t="s">
        <v>28</v>
      </c>
      <c r="J8" s="75" t="s">
        <v>29</v>
      </c>
      <c r="K8" s="75" t="s">
        <v>30</v>
      </c>
    </row>
    <row r="9" spans="1:12" x14ac:dyDescent="0.2">
      <c r="A9" s="57"/>
      <c r="B9" s="66" t="s">
        <v>77</v>
      </c>
      <c r="C9" s="331" t="s">
        <v>0</v>
      </c>
      <c r="D9" s="331"/>
      <c r="E9" s="332"/>
      <c r="F9" s="70">
        <v>4127132.797032</v>
      </c>
      <c r="G9" s="70">
        <v>0</v>
      </c>
      <c r="H9" s="58">
        <v>0</v>
      </c>
      <c r="I9" s="70">
        <v>4912588.1720130006</v>
      </c>
      <c r="J9" s="70">
        <v>0</v>
      </c>
      <c r="K9" s="58">
        <v>0</v>
      </c>
    </row>
    <row r="10" spans="1:12" x14ac:dyDescent="0.2">
      <c r="A10" s="59"/>
      <c r="B10" s="67" t="s">
        <v>82</v>
      </c>
      <c r="C10" s="339" t="s">
        <v>1</v>
      </c>
      <c r="D10" s="339"/>
      <c r="E10" s="340"/>
      <c r="F10" s="71">
        <v>34401.284478000001</v>
      </c>
      <c r="G10" s="71">
        <v>7739.152239</v>
      </c>
      <c r="H10" s="61">
        <v>7739.152239</v>
      </c>
      <c r="I10" s="71">
        <v>64905.934932000004</v>
      </c>
      <c r="J10" s="71">
        <v>19255.244466000004</v>
      </c>
      <c r="K10" s="61">
        <v>19255.244466000004</v>
      </c>
    </row>
    <row r="11" spans="1:12" x14ac:dyDescent="0.2">
      <c r="A11" s="57"/>
      <c r="B11" s="67" t="s">
        <v>83</v>
      </c>
      <c r="C11" s="331" t="s">
        <v>2</v>
      </c>
      <c r="D11" s="331"/>
      <c r="E11" s="332"/>
      <c r="F11" s="71">
        <v>0</v>
      </c>
      <c r="G11" s="71">
        <v>0</v>
      </c>
      <c r="H11" s="61"/>
      <c r="I11" s="71">
        <v>463.74705499999999</v>
      </c>
      <c r="J11" s="71">
        <v>231.87352749999999</v>
      </c>
      <c r="K11" s="61">
        <v>231.87352749999999</v>
      </c>
    </row>
    <row r="12" spans="1:12" x14ac:dyDescent="0.2">
      <c r="A12" s="57"/>
      <c r="B12" s="67" t="s">
        <v>84</v>
      </c>
      <c r="C12" s="331" t="s">
        <v>68</v>
      </c>
      <c r="D12" s="331"/>
      <c r="E12" s="332"/>
      <c r="F12" s="71">
        <v>2959452.6973510003</v>
      </c>
      <c r="G12" s="71">
        <v>623457.24367250002</v>
      </c>
      <c r="H12" s="62">
        <v>623457.24367250002</v>
      </c>
      <c r="I12" s="71">
        <v>3438685.3539760001</v>
      </c>
      <c r="J12" s="71">
        <v>732820.16400079988</v>
      </c>
      <c r="K12" s="62">
        <v>732820.16400079988</v>
      </c>
    </row>
    <row r="13" spans="1:12" x14ac:dyDescent="0.2">
      <c r="A13" s="57"/>
      <c r="B13" s="68" t="s">
        <v>85</v>
      </c>
      <c r="C13" s="331" t="s">
        <v>4</v>
      </c>
      <c r="D13" s="331"/>
      <c r="E13" s="332"/>
      <c r="F13" s="72">
        <v>561463.357601</v>
      </c>
      <c r="G13" s="72">
        <v>184619.57612779998</v>
      </c>
      <c r="H13" s="61">
        <v>184619.57612779998</v>
      </c>
      <c r="I13" s="72">
        <v>371291.10466399998</v>
      </c>
      <c r="J13" s="72">
        <v>110641.35685454999</v>
      </c>
      <c r="K13" s="61">
        <v>110641.35685454999</v>
      </c>
    </row>
    <row r="14" spans="1:12" x14ac:dyDescent="0.2">
      <c r="A14" s="57"/>
      <c r="B14" s="68" t="s">
        <v>86</v>
      </c>
      <c r="C14" s="331" t="s">
        <v>5</v>
      </c>
      <c r="D14" s="331"/>
      <c r="E14" s="332"/>
      <c r="F14" s="72">
        <v>118689.607485</v>
      </c>
      <c r="G14" s="72">
        <v>118689.607485</v>
      </c>
      <c r="H14" s="61">
        <v>118689.607485</v>
      </c>
      <c r="I14" s="72">
        <v>106468.491033</v>
      </c>
      <c r="J14" s="72">
        <v>106468.491033</v>
      </c>
      <c r="K14" s="61">
        <v>106468.491033</v>
      </c>
    </row>
    <row r="15" spans="1:12" x14ac:dyDescent="0.2">
      <c r="A15" s="57"/>
      <c r="B15" s="68" t="s">
        <v>87</v>
      </c>
      <c r="C15" s="331" t="s">
        <v>6</v>
      </c>
      <c r="D15" s="331"/>
      <c r="E15" s="332"/>
      <c r="F15" s="72">
        <v>11336115.629386</v>
      </c>
      <c r="G15" s="72">
        <v>5668057.8146930002</v>
      </c>
      <c r="H15" s="61">
        <v>5666222.3241030006</v>
      </c>
      <c r="I15" s="72">
        <v>10707318.12713</v>
      </c>
      <c r="J15" s="72">
        <v>5353659.063565</v>
      </c>
      <c r="K15" s="61">
        <v>5352434.1445030998</v>
      </c>
    </row>
    <row r="16" spans="1:12" x14ac:dyDescent="0.2">
      <c r="A16" s="57"/>
      <c r="B16" s="68" t="s">
        <v>88</v>
      </c>
      <c r="C16" s="331" t="s">
        <v>7</v>
      </c>
      <c r="D16" s="331"/>
      <c r="E16" s="332"/>
      <c r="F16" s="72">
        <v>928462.76902199991</v>
      </c>
      <c r="G16" s="72">
        <v>696347.0767664999</v>
      </c>
      <c r="H16" s="61">
        <v>671233.90518060001</v>
      </c>
      <c r="I16" s="72">
        <v>1047830.090904</v>
      </c>
      <c r="J16" s="72">
        <v>785872.56817799993</v>
      </c>
      <c r="K16" s="61">
        <v>745797.58547805005</v>
      </c>
    </row>
    <row r="17" spans="1:11" x14ac:dyDescent="0.2">
      <c r="A17" s="57"/>
      <c r="B17" s="69" t="s">
        <v>89</v>
      </c>
      <c r="C17" s="331" t="s">
        <v>8</v>
      </c>
      <c r="D17" s="331"/>
      <c r="E17" s="332"/>
      <c r="F17" s="71">
        <v>4276410.9005279997</v>
      </c>
      <c r="G17" s="71">
        <v>4189785.6035279999</v>
      </c>
      <c r="H17" s="60">
        <v>4163945.8758420004</v>
      </c>
      <c r="I17" s="71">
        <v>2490957.3106629997</v>
      </c>
      <c r="J17" s="71">
        <v>2465957.3106629997</v>
      </c>
      <c r="K17" s="60">
        <v>2447396.4760579998</v>
      </c>
    </row>
    <row r="18" spans="1:11" x14ac:dyDescent="0.2">
      <c r="A18" s="57"/>
      <c r="B18" s="68" t="s">
        <v>90</v>
      </c>
      <c r="C18" s="331" t="s">
        <v>9</v>
      </c>
      <c r="D18" s="331"/>
      <c r="E18" s="332"/>
      <c r="F18" s="71">
        <v>243376.31171200002</v>
      </c>
      <c r="G18" s="71">
        <v>355710.92219750001</v>
      </c>
      <c r="H18" s="60">
        <v>355303.93085050001</v>
      </c>
      <c r="I18" s="71">
        <v>308025.47320100002</v>
      </c>
      <c r="J18" s="71">
        <v>458119.06426900002</v>
      </c>
      <c r="K18" s="60">
        <v>457361.74410340004</v>
      </c>
    </row>
    <row r="19" spans="1:11" x14ac:dyDescent="0.2">
      <c r="A19" s="57"/>
      <c r="B19" s="210" t="s">
        <v>91</v>
      </c>
      <c r="C19" s="321" t="s">
        <v>10</v>
      </c>
      <c r="D19" s="321"/>
      <c r="E19" s="322"/>
      <c r="F19" s="72">
        <v>2331520.313999</v>
      </c>
      <c r="G19" s="72">
        <v>0</v>
      </c>
      <c r="H19" s="64">
        <v>1795887.85901</v>
      </c>
      <c r="I19" s="72">
        <v>2273809.9476290001</v>
      </c>
      <c r="J19" s="72">
        <v>0</v>
      </c>
      <c r="K19" s="64">
        <v>1772314.1277310001</v>
      </c>
    </row>
    <row r="20" spans="1:11" x14ac:dyDescent="0.2">
      <c r="A20" s="57"/>
      <c r="B20" s="333" t="s">
        <v>97</v>
      </c>
      <c r="C20" s="334"/>
      <c r="D20" s="334"/>
      <c r="E20" s="335"/>
      <c r="F20" s="147">
        <f t="shared" ref="F20:K20" si="0">SUM(F9:F19)</f>
        <v>26917025.668593999</v>
      </c>
      <c r="G20" s="147">
        <f t="shared" si="0"/>
        <v>11844406.9967093</v>
      </c>
      <c r="H20" s="147">
        <f t="shared" si="0"/>
        <v>13587099.4745104</v>
      </c>
      <c r="I20" s="147">
        <f t="shared" si="0"/>
        <v>25722343.753200002</v>
      </c>
      <c r="J20" s="147">
        <f t="shared" si="0"/>
        <v>10033025.136556851</v>
      </c>
      <c r="K20" s="147">
        <f t="shared" si="0"/>
        <v>11744721.207755398</v>
      </c>
    </row>
    <row r="21" spans="1:11" x14ac:dyDescent="0.2">
      <c r="F21" s="184">
        <v>26917025.668593999</v>
      </c>
      <c r="G21" s="184">
        <v>11844406.9967093</v>
      </c>
      <c r="H21" s="184">
        <v>13587099.4745104</v>
      </c>
    </row>
    <row r="23" spans="1:11" x14ac:dyDescent="0.2">
      <c r="A23" s="53" t="s">
        <v>81</v>
      </c>
      <c r="B23" s="349" t="s">
        <v>101</v>
      </c>
      <c r="C23" s="349"/>
      <c r="D23" s="349"/>
      <c r="E23" s="349"/>
      <c r="F23" s="349"/>
      <c r="G23" s="349"/>
      <c r="H23" s="349"/>
    </row>
    <row r="24" spans="1:11" x14ac:dyDescent="0.2">
      <c r="A24" s="53"/>
      <c r="B24" s="217"/>
      <c r="C24" s="217"/>
      <c r="D24" s="217"/>
      <c r="E24" s="217"/>
      <c r="F24" s="217"/>
      <c r="G24" s="217"/>
      <c r="H24" s="217"/>
    </row>
    <row r="25" spans="1:11" ht="14.45" customHeight="1" x14ac:dyDescent="0.2">
      <c r="A25" s="76"/>
      <c r="B25" s="341" t="s">
        <v>11</v>
      </c>
      <c r="C25" s="343" t="s">
        <v>19</v>
      </c>
      <c r="D25" s="344"/>
      <c r="E25" s="345"/>
      <c r="F25" s="320" t="s">
        <v>245</v>
      </c>
      <c r="G25" s="330"/>
      <c r="H25" s="330"/>
      <c r="I25" s="320" t="s">
        <v>243</v>
      </c>
      <c r="J25" s="330"/>
      <c r="K25" s="330"/>
    </row>
    <row r="26" spans="1:11" ht="33.75" x14ac:dyDescent="0.2">
      <c r="A26" s="57"/>
      <c r="B26" s="342"/>
      <c r="C26" s="346"/>
      <c r="D26" s="347"/>
      <c r="E26" s="348"/>
      <c r="F26" s="141" t="s">
        <v>59</v>
      </c>
      <c r="G26" s="139" t="s">
        <v>78</v>
      </c>
      <c r="H26" s="139" t="s">
        <v>79</v>
      </c>
      <c r="I26" s="142" t="s">
        <v>59</v>
      </c>
      <c r="J26" s="139" t="s">
        <v>78</v>
      </c>
      <c r="K26" s="139" t="s">
        <v>79</v>
      </c>
    </row>
    <row r="27" spans="1:11" s="40" customFormat="1" ht="10.5" customHeight="1" x14ac:dyDescent="0.15">
      <c r="A27" s="73"/>
      <c r="B27" s="74" t="s">
        <v>17</v>
      </c>
      <c r="C27" s="354" t="s">
        <v>22</v>
      </c>
      <c r="D27" s="355"/>
      <c r="E27" s="356"/>
      <c r="F27" s="75" t="s">
        <v>28</v>
      </c>
      <c r="G27" s="75" t="s">
        <v>29</v>
      </c>
      <c r="H27" s="75" t="s">
        <v>30</v>
      </c>
      <c r="I27" s="75" t="s">
        <v>28</v>
      </c>
      <c r="J27" s="75" t="s">
        <v>29</v>
      </c>
      <c r="K27" s="75" t="s">
        <v>30</v>
      </c>
    </row>
    <row r="28" spans="1:11" x14ac:dyDescent="0.2">
      <c r="A28" s="57"/>
      <c r="B28" s="66" t="s">
        <v>77</v>
      </c>
      <c r="C28" s="331" t="s">
        <v>0</v>
      </c>
      <c r="D28" s="331"/>
      <c r="E28" s="332"/>
      <c r="F28" s="70">
        <v>20191.167868000004</v>
      </c>
      <c r="G28" s="70">
        <v>0</v>
      </c>
      <c r="H28" s="70">
        <v>0</v>
      </c>
      <c r="I28" s="70">
        <v>32.611588599999997</v>
      </c>
      <c r="J28" s="70">
        <v>0</v>
      </c>
      <c r="K28" s="70">
        <v>0</v>
      </c>
    </row>
    <row r="29" spans="1:11" x14ac:dyDescent="0.2">
      <c r="A29" s="81"/>
      <c r="B29" s="67" t="s">
        <v>82</v>
      </c>
      <c r="C29" s="339" t="s">
        <v>1</v>
      </c>
      <c r="D29" s="339"/>
      <c r="E29" s="340"/>
      <c r="F29" s="87">
        <v>1486.3535344000002</v>
      </c>
      <c r="G29" s="87">
        <v>743.17676720000009</v>
      </c>
      <c r="H29" s="88">
        <v>743.17676720000009</v>
      </c>
      <c r="I29" s="87">
        <v>4740.2160274999997</v>
      </c>
      <c r="J29" s="87">
        <v>2370.1080137499998</v>
      </c>
      <c r="K29" s="88">
        <v>2288.1898294999996</v>
      </c>
    </row>
    <row r="30" spans="1:11" x14ac:dyDescent="0.2">
      <c r="A30" s="57"/>
      <c r="B30" s="67" t="s">
        <v>83</v>
      </c>
      <c r="C30" s="331" t="s">
        <v>98</v>
      </c>
      <c r="D30" s="331"/>
      <c r="E30" s="332"/>
      <c r="F30" s="87">
        <v>0</v>
      </c>
      <c r="G30" s="87">
        <v>0</v>
      </c>
      <c r="H30" s="88">
        <v>0</v>
      </c>
      <c r="I30" s="87">
        <v>0</v>
      </c>
      <c r="J30" s="87">
        <v>0</v>
      </c>
      <c r="K30" s="88">
        <v>0</v>
      </c>
    </row>
    <row r="31" spans="1:11" x14ac:dyDescent="0.2">
      <c r="A31" s="81"/>
      <c r="B31" s="67" t="s">
        <v>84</v>
      </c>
      <c r="C31" s="331" t="s">
        <v>99</v>
      </c>
      <c r="D31" s="331"/>
      <c r="E31" s="332"/>
      <c r="F31" s="87">
        <v>0</v>
      </c>
      <c r="G31" s="87">
        <v>0</v>
      </c>
      <c r="H31" s="87">
        <v>0</v>
      </c>
      <c r="I31" s="87">
        <v>89.357516799999999</v>
      </c>
      <c r="J31" s="87">
        <v>17.871503360000002</v>
      </c>
      <c r="K31" s="87">
        <v>17.871503360000002</v>
      </c>
    </row>
    <row r="32" spans="1:11" x14ac:dyDescent="0.2">
      <c r="A32" s="81"/>
      <c r="B32" s="68" t="s">
        <v>85</v>
      </c>
      <c r="C32" s="331" t="s">
        <v>4</v>
      </c>
      <c r="D32" s="331"/>
      <c r="E32" s="332"/>
      <c r="F32" s="87">
        <v>0</v>
      </c>
      <c r="G32" s="87">
        <v>0</v>
      </c>
      <c r="H32" s="88">
        <v>0</v>
      </c>
      <c r="I32" s="87">
        <v>28.4766975</v>
      </c>
      <c r="J32" s="87">
        <v>9.9668441249999997</v>
      </c>
      <c r="K32" s="88">
        <v>9.9668441249999997</v>
      </c>
    </row>
    <row r="33" spans="1:11" x14ac:dyDescent="0.2">
      <c r="A33" s="81"/>
      <c r="B33" s="68" t="s">
        <v>86</v>
      </c>
      <c r="C33" s="331" t="s">
        <v>5</v>
      </c>
      <c r="D33" s="331"/>
      <c r="E33" s="332"/>
      <c r="F33" s="87">
        <v>0</v>
      </c>
      <c r="G33" s="87">
        <v>0</v>
      </c>
      <c r="H33" s="88">
        <v>0</v>
      </c>
      <c r="I33" s="87">
        <v>1428.0275810000001</v>
      </c>
      <c r="J33" s="87">
        <v>1428.0275810000001</v>
      </c>
      <c r="K33" s="88">
        <v>1428.0275810000001</v>
      </c>
    </row>
    <row r="34" spans="1:11" x14ac:dyDescent="0.2">
      <c r="A34" s="81"/>
      <c r="B34" s="68" t="s">
        <v>87</v>
      </c>
      <c r="C34" s="331" t="s">
        <v>6</v>
      </c>
      <c r="D34" s="331"/>
      <c r="E34" s="332"/>
      <c r="F34" s="89">
        <v>0</v>
      </c>
      <c r="G34" s="89">
        <v>0</v>
      </c>
      <c r="H34" s="88">
        <v>0</v>
      </c>
      <c r="I34" s="89">
        <v>1.3168150000000001</v>
      </c>
      <c r="J34" s="89">
        <v>0.65840750000000003</v>
      </c>
      <c r="K34" s="88">
        <v>0.65840750000000003</v>
      </c>
    </row>
    <row r="35" spans="1:11" x14ac:dyDescent="0.2">
      <c r="A35" s="81"/>
      <c r="B35" s="68" t="s">
        <v>88</v>
      </c>
      <c r="C35" s="331" t="s">
        <v>7</v>
      </c>
      <c r="D35" s="331"/>
      <c r="E35" s="332"/>
      <c r="F35" s="87">
        <v>45777.9694733</v>
      </c>
      <c r="G35" s="87">
        <v>34333.477104974998</v>
      </c>
      <c r="H35" s="88">
        <v>27372.951390975002</v>
      </c>
      <c r="I35" s="87">
        <v>68655.038800000009</v>
      </c>
      <c r="J35" s="87">
        <v>51491.279100000007</v>
      </c>
      <c r="K35" s="88">
        <v>40043.759827375005</v>
      </c>
    </row>
    <row r="36" spans="1:11" x14ac:dyDescent="0.2">
      <c r="A36" s="81"/>
      <c r="B36" s="67" t="s">
        <v>89</v>
      </c>
      <c r="C36" s="331" t="s">
        <v>8</v>
      </c>
      <c r="D36" s="331"/>
      <c r="E36" s="332"/>
      <c r="F36" s="87">
        <v>171304.2529244</v>
      </c>
      <c r="G36" s="87">
        <v>171304.2529244</v>
      </c>
      <c r="H36" s="88">
        <v>161280.28287315002</v>
      </c>
      <c r="I36" s="87">
        <v>520401.0477102088</v>
      </c>
      <c r="J36" s="87">
        <v>520401.0477102088</v>
      </c>
      <c r="K36" s="88">
        <v>473794.9207522088</v>
      </c>
    </row>
    <row r="37" spans="1:11" x14ac:dyDescent="0.2">
      <c r="A37" s="81"/>
      <c r="B37" s="68" t="s">
        <v>90</v>
      </c>
      <c r="C37" s="331" t="s">
        <v>9</v>
      </c>
      <c r="D37" s="331"/>
      <c r="E37" s="332"/>
      <c r="F37" s="89">
        <v>5276.782588</v>
      </c>
      <c r="G37" s="89">
        <v>7915.173882</v>
      </c>
      <c r="H37" s="89">
        <v>7915.173882</v>
      </c>
      <c r="I37" s="89">
        <v>9034.4078355000001</v>
      </c>
      <c r="J37" s="89">
        <v>13551.611753249999</v>
      </c>
      <c r="K37" s="89">
        <v>13551.611753249999</v>
      </c>
    </row>
    <row r="38" spans="1:11" x14ac:dyDescent="0.2">
      <c r="A38" s="81"/>
      <c r="B38" s="333" t="s">
        <v>97</v>
      </c>
      <c r="C38" s="334"/>
      <c r="D38" s="334"/>
      <c r="E38" s="335"/>
      <c r="F38" s="148">
        <f>SUM(F28:F37)</f>
        <v>244036.5263881</v>
      </c>
      <c r="G38" s="148">
        <f>SUM(G28:G37)</f>
        <v>214296.080678575</v>
      </c>
      <c r="H38" s="148">
        <f>SUM(H28:H37)</f>
        <v>197311.58491332503</v>
      </c>
      <c r="I38" s="148">
        <f>SUM(I28:I37)</f>
        <v>604410.50057210878</v>
      </c>
      <c r="J38" s="148">
        <f t="shared" ref="J38:K38" si="1">SUM(J28:J37)</f>
        <v>589270.57091319386</v>
      </c>
      <c r="K38" s="148">
        <f t="shared" si="1"/>
        <v>531135.00649831875</v>
      </c>
    </row>
    <row r="39" spans="1:11" x14ac:dyDescent="0.2">
      <c r="F39" s="184">
        <v>244036.5263881</v>
      </c>
      <c r="G39" s="184">
        <v>214296.080678575</v>
      </c>
      <c r="H39" s="184">
        <v>197311.58491332503</v>
      </c>
    </row>
    <row r="41" spans="1:11" x14ac:dyDescent="0.2">
      <c r="A41" s="211" t="s">
        <v>93</v>
      </c>
      <c r="B41" s="319" t="s">
        <v>103</v>
      </c>
      <c r="C41" s="319"/>
      <c r="D41" s="319"/>
      <c r="E41" s="319"/>
      <c r="F41" s="319"/>
      <c r="G41" s="319"/>
      <c r="H41" s="319"/>
    </row>
    <row r="42" spans="1:11" x14ac:dyDescent="0.2">
      <c r="A42" s="211"/>
      <c r="B42" s="319"/>
      <c r="C42" s="319"/>
      <c r="D42" s="319"/>
      <c r="E42" s="319"/>
      <c r="F42" s="319"/>
      <c r="G42" s="319"/>
      <c r="H42" s="319"/>
    </row>
    <row r="43" spans="1:11" ht="14.45" customHeight="1" x14ac:dyDescent="0.2">
      <c r="A43" s="81"/>
      <c r="B43" s="341" t="s">
        <v>11</v>
      </c>
      <c r="C43" s="343" t="s">
        <v>19</v>
      </c>
      <c r="D43" s="344"/>
      <c r="E43" s="345"/>
      <c r="F43" s="320" t="s">
        <v>245</v>
      </c>
      <c r="G43" s="330"/>
      <c r="H43" s="330"/>
      <c r="I43" s="320" t="s">
        <v>243</v>
      </c>
      <c r="J43" s="330"/>
      <c r="K43" s="330"/>
    </row>
    <row r="44" spans="1:11" ht="33.75" x14ac:dyDescent="0.2">
      <c r="A44" s="56"/>
      <c r="B44" s="342"/>
      <c r="C44" s="346"/>
      <c r="D44" s="347"/>
      <c r="E44" s="348"/>
      <c r="F44" s="142" t="s">
        <v>59</v>
      </c>
      <c r="G44" s="140" t="s">
        <v>78</v>
      </c>
      <c r="H44" s="139" t="s">
        <v>79</v>
      </c>
      <c r="I44" s="142" t="s">
        <v>59</v>
      </c>
      <c r="J44" s="140" t="s">
        <v>78</v>
      </c>
      <c r="K44" s="139" t="s">
        <v>79</v>
      </c>
    </row>
    <row r="45" spans="1:11" x14ac:dyDescent="0.2">
      <c r="A45" s="57"/>
      <c r="B45" s="74" t="s">
        <v>17</v>
      </c>
      <c r="C45" s="354" t="s">
        <v>22</v>
      </c>
      <c r="D45" s="355"/>
      <c r="E45" s="356"/>
      <c r="F45" s="75" t="s">
        <v>28</v>
      </c>
      <c r="G45" s="75" t="s">
        <v>29</v>
      </c>
      <c r="H45" s="75" t="s">
        <v>30</v>
      </c>
      <c r="I45" s="75" t="s">
        <v>28</v>
      </c>
      <c r="J45" s="75" t="s">
        <v>29</v>
      </c>
      <c r="K45" s="75" t="s">
        <v>30</v>
      </c>
    </row>
    <row r="46" spans="1:11" x14ac:dyDescent="0.2">
      <c r="A46" s="57"/>
      <c r="B46" s="66" t="s">
        <v>77</v>
      </c>
      <c r="C46" s="331" t="s">
        <v>0</v>
      </c>
      <c r="D46" s="331"/>
      <c r="E46" s="332"/>
      <c r="F46" s="86">
        <v>527192.259968</v>
      </c>
      <c r="G46" s="86">
        <v>0</v>
      </c>
      <c r="H46" s="87">
        <v>0</v>
      </c>
      <c r="I46" s="86">
        <v>478576.9</v>
      </c>
      <c r="J46" s="86">
        <v>0</v>
      </c>
      <c r="K46" s="87">
        <v>0</v>
      </c>
    </row>
    <row r="47" spans="1:11" x14ac:dyDescent="0.2">
      <c r="A47" s="81"/>
      <c r="B47" s="67" t="s">
        <v>82</v>
      </c>
      <c r="C47" s="339" t="s">
        <v>1</v>
      </c>
      <c r="D47" s="339"/>
      <c r="E47" s="340"/>
      <c r="F47" s="87">
        <v>0</v>
      </c>
      <c r="G47" s="87">
        <v>0</v>
      </c>
      <c r="H47" s="88">
        <v>0</v>
      </c>
      <c r="I47" s="87">
        <v>0</v>
      </c>
      <c r="J47" s="87">
        <v>0</v>
      </c>
      <c r="K47" s="88">
        <v>0</v>
      </c>
    </row>
    <row r="48" spans="1:11" x14ac:dyDescent="0.2">
      <c r="A48" s="57"/>
      <c r="B48" s="67" t="s">
        <v>83</v>
      </c>
      <c r="C48" s="331" t="s">
        <v>98</v>
      </c>
      <c r="D48" s="331"/>
      <c r="E48" s="332"/>
      <c r="F48" s="87">
        <v>0</v>
      </c>
      <c r="G48" s="87">
        <v>0</v>
      </c>
      <c r="H48" s="88">
        <v>0</v>
      </c>
      <c r="I48" s="87">
        <v>0</v>
      </c>
      <c r="J48" s="87">
        <v>0</v>
      </c>
      <c r="K48" s="88">
        <v>0</v>
      </c>
    </row>
    <row r="49" spans="1:11" x14ac:dyDescent="0.2">
      <c r="A49" s="81"/>
      <c r="B49" s="67" t="s">
        <v>84</v>
      </c>
      <c r="C49" s="331" t="s">
        <v>99</v>
      </c>
      <c r="D49" s="331"/>
      <c r="E49" s="332"/>
      <c r="F49" s="87">
        <v>0</v>
      </c>
      <c r="G49" s="87">
        <v>0</v>
      </c>
      <c r="H49" s="87">
        <v>0</v>
      </c>
      <c r="I49" s="87">
        <v>0</v>
      </c>
      <c r="J49" s="87">
        <v>0</v>
      </c>
      <c r="K49" s="87">
        <v>0</v>
      </c>
    </row>
    <row r="50" spans="1:11" x14ac:dyDescent="0.2">
      <c r="A50" s="81"/>
      <c r="B50" s="68" t="s">
        <v>85</v>
      </c>
      <c r="C50" s="331" t="s">
        <v>7</v>
      </c>
      <c r="D50" s="331"/>
      <c r="E50" s="332"/>
      <c r="F50" s="87">
        <v>0</v>
      </c>
      <c r="G50" s="87">
        <v>0</v>
      </c>
      <c r="H50" s="88">
        <v>0</v>
      </c>
      <c r="I50" s="87">
        <v>0</v>
      </c>
      <c r="J50" s="87">
        <v>0</v>
      </c>
      <c r="K50" s="88">
        <v>0</v>
      </c>
    </row>
    <row r="51" spans="1:11" x14ac:dyDescent="0.2">
      <c r="A51" s="81"/>
      <c r="B51" s="67" t="s">
        <v>86</v>
      </c>
      <c r="C51" s="331" t="s">
        <v>8</v>
      </c>
      <c r="D51" s="331"/>
      <c r="E51" s="332"/>
      <c r="F51" s="87">
        <v>0</v>
      </c>
      <c r="G51" s="87">
        <v>0</v>
      </c>
      <c r="H51" s="88">
        <v>0</v>
      </c>
      <c r="I51" s="87">
        <v>0</v>
      </c>
      <c r="J51" s="87">
        <v>0</v>
      </c>
      <c r="K51" s="88">
        <v>0</v>
      </c>
    </row>
    <row r="52" spans="1:11" x14ac:dyDescent="0.2">
      <c r="A52" s="81"/>
      <c r="B52" s="149" t="s">
        <v>87</v>
      </c>
      <c r="C52" s="215" t="s">
        <v>102</v>
      </c>
      <c r="D52" s="215"/>
      <c r="E52" s="216"/>
      <c r="F52" s="87">
        <v>0</v>
      </c>
      <c r="G52" s="87">
        <v>0</v>
      </c>
      <c r="H52" s="88">
        <v>0</v>
      </c>
      <c r="I52" s="87">
        <v>0</v>
      </c>
      <c r="J52" s="87">
        <v>0</v>
      </c>
      <c r="K52" s="88">
        <v>0</v>
      </c>
    </row>
    <row r="53" spans="1:11" x14ac:dyDescent="0.2">
      <c r="A53" s="81"/>
      <c r="B53" s="333" t="s">
        <v>97</v>
      </c>
      <c r="C53" s="334"/>
      <c r="D53" s="334"/>
      <c r="E53" s="335"/>
      <c r="F53" s="148">
        <f>SUM(F46:F52)</f>
        <v>527192.259968</v>
      </c>
      <c r="G53" s="148">
        <f t="shared" ref="G53:K53" si="2">SUM(G46:G52)</f>
        <v>0</v>
      </c>
      <c r="H53" s="148">
        <f t="shared" si="2"/>
        <v>0</v>
      </c>
      <c r="I53" s="148">
        <f t="shared" si="2"/>
        <v>478576.9</v>
      </c>
      <c r="J53" s="148">
        <f t="shared" si="2"/>
        <v>0</v>
      </c>
      <c r="K53" s="148">
        <f t="shared" si="2"/>
        <v>0</v>
      </c>
    </row>
    <row r="56" spans="1:11" x14ac:dyDescent="0.2">
      <c r="A56" s="211" t="s">
        <v>94</v>
      </c>
      <c r="B56" s="319" t="s">
        <v>113</v>
      </c>
      <c r="C56" s="319"/>
      <c r="D56" s="319"/>
      <c r="E56" s="319"/>
      <c r="F56" s="319"/>
      <c r="G56" s="319"/>
      <c r="H56" s="319"/>
    </row>
    <row r="57" spans="1:11" x14ac:dyDescent="0.2">
      <c r="A57" s="211"/>
      <c r="B57" s="319"/>
      <c r="C57" s="319"/>
      <c r="D57" s="319"/>
      <c r="E57" s="319"/>
      <c r="F57" s="319"/>
      <c r="G57" s="319"/>
      <c r="H57" s="319"/>
    </row>
    <row r="58" spans="1:11" ht="14.45" customHeight="1" x14ac:dyDescent="0.2">
      <c r="A58" s="211"/>
      <c r="B58" s="307" t="s">
        <v>11</v>
      </c>
      <c r="C58" s="309" t="s">
        <v>104</v>
      </c>
      <c r="D58" s="310"/>
      <c r="E58" s="311"/>
      <c r="F58" s="320" t="s">
        <v>245</v>
      </c>
      <c r="G58" s="330"/>
      <c r="H58" s="330"/>
      <c r="I58" s="320" t="s">
        <v>243</v>
      </c>
      <c r="J58" s="330"/>
      <c r="K58" s="330"/>
    </row>
    <row r="59" spans="1:11" ht="33.75" x14ac:dyDescent="0.2">
      <c r="A59" s="211"/>
      <c r="B59" s="308"/>
      <c r="C59" s="312"/>
      <c r="D59" s="313"/>
      <c r="E59" s="314"/>
      <c r="F59" s="143" t="s">
        <v>105</v>
      </c>
      <c r="G59" s="144" t="s">
        <v>106</v>
      </c>
      <c r="H59" s="214" t="s">
        <v>26</v>
      </c>
      <c r="I59" s="143" t="s">
        <v>105</v>
      </c>
      <c r="J59" s="144" t="s">
        <v>106</v>
      </c>
      <c r="K59" s="214" t="s">
        <v>26</v>
      </c>
    </row>
    <row r="60" spans="1:11" x14ac:dyDescent="0.2">
      <c r="A60" s="211"/>
      <c r="B60" s="218" t="s">
        <v>17</v>
      </c>
      <c r="C60" s="360" t="s">
        <v>22</v>
      </c>
      <c r="D60" s="361"/>
      <c r="E60" s="362"/>
      <c r="F60" s="74" t="s">
        <v>28</v>
      </c>
      <c r="G60" s="160" t="s">
        <v>29</v>
      </c>
      <c r="H60" s="160" t="s">
        <v>30</v>
      </c>
      <c r="I60" s="161" t="s">
        <v>28</v>
      </c>
      <c r="J60" s="160" t="s">
        <v>29</v>
      </c>
      <c r="K60" s="160" t="s">
        <v>30</v>
      </c>
    </row>
    <row r="61" spans="1:11" x14ac:dyDescent="0.2">
      <c r="A61" s="81"/>
      <c r="B61" s="68" t="s">
        <v>77</v>
      </c>
      <c r="C61" s="321" t="s">
        <v>107</v>
      </c>
      <c r="D61" s="321"/>
      <c r="E61" s="322"/>
      <c r="F61" s="93">
        <v>0</v>
      </c>
      <c r="G61" s="93">
        <v>0</v>
      </c>
      <c r="H61" s="93">
        <v>0</v>
      </c>
      <c r="I61" s="93">
        <v>0</v>
      </c>
      <c r="J61" s="93">
        <v>0</v>
      </c>
      <c r="K61" s="93">
        <v>0</v>
      </c>
    </row>
    <row r="62" spans="1:11" x14ac:dyDescent="0.2">
      <c r="A62" s="81"/>
      <c r="B62" s="68"/>
      <c r="C62" s="213" t="s">
        <v>80</v>
      </c>
      <c r="D62" s="321" t="s">
        <v>108</v>
      </c>
      <c r="E62" s="322"/>
      <c r="F62" s="79">
        <v>0</v>
      </c>
      <c r="G62" s="79">
        <v>0</v>
      </c>
      <c r="H62" s="79">
        <v>0</v>
      </c>
      <c r="I62" s="79">
        <v>0</v>
      </c>
      <c r="J62" s="79">
        <v>0</v>
      </c>
      <c r="K62" s="79">
        <v>0</v>
      </c>
    </row>
    <row r="63" spans="1:11" x14ac:dyDescent="0.2">
      <c r="A63" s="81"/>
      <c r="B63" s="68"/>
      <c r="C63" s="213" t="s">
        <v>81</v>
      </c>
      <c r="D63" s="321" t="s">
        <v>109</v>
      </c>
      <c r="E63" s="322"/>
      <c r="F63" s="79">
        <v>0</v>
      </c>
      <c r="G63" s="79">
        <v>0</v>
      </c>
      <c r="H63" s="79">
        <v>0</v>
      </c>
      <c r="I63" s="79">
        <v>0</v>
      </c>
      <c r="J63" s="79">
        <v>0</v>
      </c>
      <c r="K63" s="79">
        <v>0</v>
      </c>
    </row>
    <row r="64" spans="1:11" x14ac:dyDescent="0.2">
      <c r="A64" s="81"/>
      <c r="B64" s="68"/>
      <c r="C64" s="213" t="s">
        <v>93</v>
      </c>
      <c r="D64" s="321" t="s">
        <v>110</v>
      </c>
      <c r="E64" s="322"/>
      <c r="F64" s="79">
        <v>0</v>
      </c>
      <c r="G64" s="79">
        <v>0</v>
      </c>
      <c r="H64" s="79">
        <v>0</v>
      </c>
      <c r="I64" s="79">
        <v>0</v>
      </c>
      <c r="J64" s="79">
        <v>0</v>
      </c>
      <c r="K64" s="79">
        <v>0</v>
      </c>
    </row>
    <row r="65" spans="1:11" x14ac:dyDescent="0.2">
      <c r="A65" s="81"/>
      <c r="B65" s="68"/>
      <c r="C65" s="213" t="s">
        <v>94</v>
      </c>
      <c r="D65" s="321" t="s">
        <v>111</v>
      </c>
      <c r="E65" s="322"/>
      <c r="F65" s="79">
        <v>0</v>
      </c>
      <c r="G65" s="79">
        <v>0</v>
      </c>
      <c r="H65" s="79">
        <v>0</v>
      </c>
      <c r="I65" s="79">
        <v>0</v>
      </c>
      <c r="J65" s="79">
        <v>0</v>
      </c>
      <c r="K65" s="79">
        <v>0</v>
      </c>
    </row>
    <row r="66" spans="1:11" x14ac:dyDescent="0.2">
      <c r="A66" s="81"/>
      <c r="B66" s="68" t="s">
        <v>82</v>
      </c>
      <c r="C66" s="321" t="s">
        <v>112</v>
      </c>
      <c r="D66" s="321"/>
      <c r="E66" s="322"/>
      <c r="F66" s="79">
        <v>0</v>
      </c>
      <c r="G66" s="79">
        <v>0</v>
      </c>
      <c r="H66" s="79"/>
      <c r="I66" s="79">
        <v>0</v>
      </c>
      <c r="J66" s="79">
        <v>0</v>
      </c>
      <c r="K66" s="79"/>
    </row>
    <row r="67" spans="1:11" x14ac:dyDescent="0.2">
      <c r="A67" s="96"/>
      <c r="B67" s="323" t="s">
        <v>97</v>
      </c>
      <c r="C67" s="324"/>
      <c r="D67" s="324"/>
      <c r="E67" s="325"/>
      <c r="F67" s="93">
        <f>SUM(F61:F66)</f>
        <v>0</v>
      </c>
      <c r="G67" s="93">
        <f t="shared" ref="G67:K67" si="3">SUM(G61:G66)</f>
        <v>0</v>
      </c>
      <c r="H67" s="93">
        <f t="shared" si="3"/>
        <v>0</v>
      </c>
      <c r="I67" s="93">
        <f t="shared" si="3"/>
        <v>0</v>
      </c>
      <c r="J67" s="93">
        <f t="shared" si="3"/>
        <v>0</v>
      </c>
      <c r="K67" s="93">
        <f t="shared" si="3"/>
        <v>0</v>
      </c>
    </row>
    <row r="70" spans="1:11" x14ac:dyDescent="0.2">
      <c r="A70" s="211" t="s">
        <v>95</v>
      </c>
      <c r="B70" s="319" t="s">
        <v>114</v>
      </c>
      <c r="C70" s="319"/>
      <c r="D70" s="319"/>
      <c r="E70" s="319"/>
      <c r="F70" s="319"/>
      <c r="G70" s="319"/>
      <c r="H70" s="319"/>
    </row>
    <row r="71" spans="1:11" x14ac:dyDescent="0.2">
      <c r="A71" s="211"/>
      <c r="B71" s="211"/>
      <c r="C71" s="211"/>
      <c r="D71" s="211"/>
      <c r="E71" s="211"/>
      <c r="F71" s="211"/>
      <c r="G71" s="211"/>
      <c r="H71" s="211"/>
    </row>
    <row r="72" spans="1:11" ht="14.45" customHeight="1" x14ac:dyDescent="0.2">
      <c r="A72" s="211"/>
      <c r="B72" s="307" t="s">
        <v>11</v>
      </c>
      <c r="C72" s="309" t="s">
        <v>104</v>
      </c>
      <c r="D72" s="310"/>
      <c r="E72" s="311"/>
      <c r="F72" s="320" t="s">
        <v>245</v>
      </c>
      <c r="G72" s="320"/>
      <c r="H72" s="320" t="s">
        <v>243</v>
      </c>
      <c r="I72" s="320"/>
      <c r="J72" s="211"/>
      <c r="K72" s="211"/>
    </row>
    <row r="73" spans="1:11" ht="33.75" x14ac:dyDescent="0.2">
      <c r="A73" s="211"/>
      <c r="B73" s="308"/>
      <c r="C73" s="312"/>
      <c r="D73" s="313"/>
      <c r="E73" s="314"/>
      <c r="F73" s="144" t="s">
        <v>106</v>
      </c>
      <c r="G73" s="139" t="s">
        <v>26</v>
      </c>
      <c r="H73" s="144" t="s">
        <v>106</v>
      </c>
      <c r="I73" s="139" t="s">
        <v>26</v>
      </c>
    </row>
    <row r="74" spans="1:11" x14ac:dyDescent="0.2">
      <c r="A74" s="55"/>
      <c r="B74" s="218" t="s">
        <v>17</v>
      </c>
      <c r="C74" s="358" t="s">
        <v>22</v>
      </c>
      <c r="D74" s="359"/>
      <c r="E74" s="359"/>
      <c r="F74" s="74" t="s">
        <v>28</v>
      </c>
      <c r="G74" s="74" t="s">
        <v>29</v>
      </c>
      <c r="H74" s="74" t="s">
        <v>28</v>
      </c>
      <c r="I74" s="74" t="s">
        <v>29</v>
      </c>
    </row>
    <row r="75" spans="1:11" x14ac:dyDescent="0.2">
      <c r="A75" s="81"/>
      <c r="B75" s="68" t="s">
        <v>77</v>
      </c>
      <c r="C75" s="315" t="s">
        <v>115</v>
      </c>
      <c r="D75" s="315"/>
      <c r="E75" s="315"/>
      <c r="F75" s="79">
        <v>0</v>
      </c>
      <c r="G75" s="79">
        <v>0</v>
      </c>
      <c r="H75" s="79">
        <v>0</v>
      </c>
      <c r="I75" s="79">
        <v>0</v>
      </c>
    </row>
    <row r="76" spans="1:11" x14ac:dyDescent="0.2">
      <c r="A76" s="81"/>
      <c r="B76" s="68" t="s">
        <v>82</v>
      </c>
      <c r="C76" s="315" t="s">
        <v>116</v>
      </c>
      <c r="D76" s="315"/>
      <c r="E76" s="315"/>
      <c r="F76" s="79">
        <v>0</v>
      </c>
      <c r="G76" s="79">
        <v>0</v>
      </c>
      <c r="H76" s="79">
        <v>0</v>
      </c>
      <c r="I76" s="79">
        <v>0</v>
      </c>
    </row>
    <row r="77" spans="1:11" x14ac:dyDescent="0.2">
      <c r="A77" s="81"/>
      <c r="B77" s="68" t="s">
        <v>83</v>
      </c>
      <c r="C77" s="315" t="s">
        <v>117</v>
      </c>
      <c r="D77" s="315"/>
      <c r="E77" s="315"/>
      <c r="F77" s="95"/>
      <c r="G77" s="79">
        <v>0</v>
      </c>
      <c r="H77" s="95"/>
      <c r="I77" s="79">
        <v>0</v>
      </c>
    </row>
    <row r="78" spans="1:11" x14ac:dyDescent="0.2">
      <c r="A78" s="81"/>
      <c r="B78" s="68" t="s">
        <v>84</v>
      </c>
      <c r="C78" s="315" t="s">
        <v>118</v>
      </c>
      <c r="D78" s="315"/>
      <c r="E78" s="315"/>
      <c r="F78" s="79">
        <v>0</v>
      </c>
      <c r="G78" s="79">
        <v>0</v>
      </c>
      <c r="H78" s="79">
        <v>0</v>
      </c>
      <c r="I78" s="79">
        <v>0</v>
      </c>
    </row>
    <row r="79" spans="1:11" x14ac:dyDescent="0.2">
      <c r="A79" s="81"/>
      <c r="B79" s="68" t="s">
        <v>85</v>
      </c>
      <c r="C79" s="315" t="s">
        <v>119</v>
      </c>
      <c r="D79" s="315"/>
      <c r="E79" s="315"/>
      <c r="F79" s="79">
        <v>0</v>
      </c>
      <c r="G79" s="79">
        <v>0</v>
      </c>
      <c r="H79" s="79">
        <v>0</v>
      </c>
      <c r="I79" s="79">
        <v>0</v>
      </c>
    </row>
    <row r="80" spans="1:11" x14ac:dyDescent="0.2">
      <c r="A80" s="81"/>
      <c r="B80" s="68" t="s">
        <v>86</v>
      </c>
      <c r="C80" s="315" t="s">
        <v>120</v>
      </c>
      <c r="D80" s="315"/>
      <c r="E80" s="315"/>
      <c r="F80" s="79">
        <v>0</v>
      </c>
      <c r="G80" s="79">
        <v>0</v>
      </c>
      <c r="H80" s="79">
        <v>0</v>
      </c>
      <c r="I80" s="79">
        <v>0</v>
      </c>
    </row>
    <row r="81" spans="1:9" x14ac:dyDescent="0.2">
      <c r="A81" s="81"/>
      <c r="B81" s="97" t="s">
        <v>87</v>
      </c>
      <c r="C81" s="316" t="s">
        <v>121</v>
      </c>
      <c r="D81" s="316"/>
      <c r="E81" s="316"/>
      <c r="F81" s="95"/>
      <c r="G81" s="79">
        <v>0</v>
      </c>
      <c r="H81" s="95"/>
      <c r="I81" s="79">
        <v>0</v>
      </c>
    </row>
    <row r="82" spans="1:9" x14ac:dyDescent="0.2">
      <c r="A82" s="81"/>
      <c r="B82" s="306" t="s">
        <v>97</v>
      </c>
      <c r="C82" s="306"/>
      <c r="D82" s="306"/>
      <c r="E82" s="306"/>
      <c r="F82" s="79">
        <f>SUM(F75,F76,F77:F78,F79,F80:F81)</f>
        <v>0</v>
      </c>
      <c r="G82" s="79">
        <f>SUM(G75,G76,G77:G78,G79,G80:G81)</f>
        <v>0</v>
      </c>
      <c r="H82" s="79">
        <f>SUM(H75,H76,H77:H78,H79,H80:H81)</f>
        <v>0</v>
      </c>
      <c r="I82" s="79">
        <f>SUM(I75,I76,I77:I78,I79,I80:I81)</f>
        <v>0</v>
      </c>
    </row>
    <row r="85" spans="1:9" x14ac:dyDescent="0.2">
      <c r="A85" s="211" t="s">
        <v>96</v>
      </c>
      <c r="B85" s="319" t="s">
        <v>122</v>
      </c>
      <c r="C85" s="319"/>
      <c r="D85" s="319"/>
      <c r="E85" s="319"/>
      <c r="F85" s="319"/>
      <c r="G85" s="319"/>
      <c r="H85" s="319"/>
    </row>
    <row r="86" spans="1:9" x14ac:dyDescent="0.2">
      <c r="A86" s="211"/>
      <c r="B86" s="302"/>
      <c r="C86" s="303"/>
      <c r="D86" s="303"/>
      <c r="E86" s="304"/>
      <c r="F86" s="212" t="s">
        <v>245</v>
      </c>
      <c r="G86" s="212" t="s">
        <v>243</v>
      </c>
      <c r="H86" s="211"/>
    </row>
    <row r="87" spans="1:9" x14ac:dyDescent="0.2">
      <c r="A87" s="81"/>
      <c r="B87" s="301" t="s">
        <v>123</v>
      </c>
      <c r="C87" s="301"/>
      <c r="D87" s="301"/>
      <c r="E87" s="301"/>
      <c r="F87" s="93">
        <f>H20+H38+H53+H67+G82</f>
        <v>13784411.059423724</v>
      </c>
      <c r="G87" s="93">
        <f>K20+K38+K53+K67+I82</f>
        <v>12275856.214253716</v>
      </c>
      <c r="H87" s="98"/>
    </row>
    <row r="88" spans="1:9" x14ac:dyDescent="0.2">
      <c r="A88" s="81"/>
      <c r="B88" s="301" t="s">
        <v>124</v>
      </c>
      <c r="C88" s="301"/>
      <c r="D88" s="301"/>
      <c r="E88" s="301"/>
      <c r="F88" s="99">
        <v>0</v>
      </c>
      <c r="G88" s="93">
        <v>0</v>
      </c>
      <c r="H88" s="98"/>
    </row>
    <row r="91" spans="1:9" x14ac:dyDescent="0.2">
      <c r="A91" s="3" t="s">
        <v>22</v>
      </c>
      <c r="B91" s="6" t="s">
        <v>125</v>
      </c>
    </row>
    <row r="92" spans="1:9" x14ac:dyDescent="0.2">
      <c r="A92" s="22"/>
      <c r="B92" s="8" t="s">
        <v>76</v>
      </c>
    </row>
  </sheetData>
  <mergeCells count="83">
    <mergeCell ref="C13:E13"/>
    <mergeCell ref="J3:K3"/>
    <mergeCell ref="B4:H4"/>
    <mergeCell ref="B5:H5"/>
    <mergeCell ref="B6:B7"/>
    <mergeCell ref="C6:E7"/>
    <mergeCell ref="F6:H6"/>
    <mergeCell ref="I6:K6"/>
    <mergeCell ref="C8:E8"/>
    <mergeCell ref="C9:E9"/>
    <mergeCell ref="C10:E10"/>
    <mergeCell ref="C11:E11"/>
    <mergeCell ref="C12:E12"/>
    <mergeCell ref="I25:K25"/>
    <mergeCell ref="C14:E14"/>
    <mergeCell ref="C15:E15"/>
    <mergeCell ref="C16:E16"/>
    <mergeCell ref="C17:E17"/>
    <mergeCell ref="C18:E18"/>
    <mergeCell ref="C19:E19"/>
    <mergeCell ref="C32:E32"/>
    <mergeCell ref="B20:E20"/>
    <mergeCell ref="B23:H23"/>
    <mergeCell ref="B25:B26"/>
    <mergeCell ref="C25:E26"/>
    <mergeCell ref="F25:H25"/>
    <mergeCell ref="C27:E27"/>
    <mergeCell ref="C28:E28"/>
    <mergeCell ref="C29:E29"/>
    <mergeCell ref="C30:E30"/>
    <mergeCell ref="C31:E31"/>
    <mergeCell ref="I43:K43"/>
    <mergeCell ref="C33:E33"/>
    <mergeCell ref="C34:E34"/>
    <mergeCell ref="C35:E35"/>
    <mergeCell ref="C36:E36"/>
    <mergeCell ref="C37:E37"/>
    <mergeCell ref="B38:E38"/>
    <mergeCell ref="C50:E50"/>
    <mergeCell ref="B41:H41"/>
    <mergeCell ref="B42:H42"/>
    <mergeCell ref="B43:B44"/>
    <mergeCell ref="C43:E44"/>
    <mergeCell ref="F43:H43"/>
    <mergeCell ref="C45:E45"/>
    <mergeCell ref="C46:E46"/>
    <mergeCell ref="C47:E47"/>
    <mergeCell ref="C48:E48"/>
    <mergeCell ref="C49:E49"/>
    <mergeCell ref="D64:E64"/>
    <mergeCell ref="C51:E51"/>
    <mergeCell ref="B53:E53"/>
    <mergeCell ref="B56:H56"/>
    <mergeCell ref="B57:H57"/>
    <mergeCell ref="B58:B59"/>
    <mergeCell ref="C58:E59"/>
    <mergeCell ref="F58:H58"/>
    <mergeCell ref="I58:K58"/>
    <mergeCell ref="C60:E60"/>
    <mergeCell ref="C61:E61"/>
    <mergeCell ref="D62:E62"/>
    <mergeCell ref="D63:E63"/>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B88:E88"/>
    <mergeCell ref="C80:E80"/>
    <mergeCell ref="C81:E81"/>
    <mergeCell ref="B82:E82"/>
    <mergeCell ref="B85:H85"/>
    <mergeCell ref="B86:E86"/>
    <mergeCell ref="B87:E87"/>
  </mergeCells>
  <dataValidations count="1">
    <dataValidation type="decimal" operator="greaterThanOrEqual" allowBlank="1" showInputMessage="1" showErrorMessage="1" promptTitle="Data Input" prompt="Enter value greater than or equal to zero" sqref="K17:K18 H17:H18 H12 F10:G18 K12 I10:J18 F47:G52 H31 F35:G36 F29:G33 I47:J52 K49 F19:K19 H49 H46 K46 K31 I35:J36 I29:J33">
      <formula1>0</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topLeftCell="A25" workbookViewId="0">
      <selection activeCell="F87" sqref="F87"/>
    </sheetView>
  </sheetViews>
  <sheetFormatPr defaultColWidth="8.7109375" defaultRowHeight="11.25" x14ac:dyDescent="0.2"/>
  <cols>
    <col min="1" max="1" width="4.140625" style="6" customWidth="1"/>
    <col min="2" max="2" width="4" style="65" customWidth="1"/>
    <col min="3" max="3" width="4.28515625" style="6" customWidth="1"/>
    <col min="4" max="4" width="3.85546875" style="6" customWidth="1"/>
    <col min="5" max="5" width="39.140625" style="6" customWidth="1"/>
    <col min="6" max="6" width="9.7109375" style="6" bestFit="1" customWidth="1"/>
    <col min="7" max="7" width="10.5703125" style="6" customWidth="1"/>
    <col min="8" max="8" width="10.42578125" style="6" customWidth="1"/>
    <col min="9" max="16384" width="8.7109375" style="6"/>
  </cols>
  <sheetData>
    <row r="1" spans="1:12" x14ac:dyDescent="0.2">
      <c r="B1" s="65" t="s">
        <v>129</v>
      </c>
    </row>
    <row r="2" spans="1:12" x14ac:dyDescent="0.2">
      <c r="B2" s="3" t="s">
        <v>17</v>
      </c>
      <c r="C2" s="6" t="s">
        <v>16</v>
      </c>
    </row>
    <row r="3" spans="1:12" ht="10.5" customHeight="1" x14ac:dyDescent="0.2">
      <c r="B3" s="3"/>
      <c r="J3" s="357" t="s">
        <v>57</v>
      </c>
      <c r="K3" s="357"/>
    </row>
    <row r="4" spans="1:12" x14ac:dyDescent="0.2">
      <c r="A4" s="53" t="s">
        <v>80</v>
      </c>
      <c r="B4" s="353" t="s">
        <v>100</v>
      </c>
      <c r="C4" s="353"/>
      <c r="D4" s="353"/>
      <c r="E4" s="353"/>
      <c r="F4" s="353"/>
      <c r="G4" s="353"/>
      <c r="H4" s="353"/>
    </row>
    <row r="5" spans="1:12" ht="10.5" customHeight="1" x14ac:dyDescent="0.2">
      <c r="A5" s="53"/>
      <c r="B5" s="349"/>
      <c r="C5" s="349"/>
      <c r="D5" s="349"/>
      <c r="E5" s="349"/>
      <c r="F5" s="349"/>
      <c r="G5" s="349"/>
      <c r="H5" s="349"/>
      <c r="K5" s="162"/>
      <c r="L5" s="162"/>
    </row>
    <row r="6" spans="1:12" ht="14.45" customHeight="1" x14ac:dyDescent="0.2">
      <c r="A6" s="177"/>
      <c r="B6" s="341" t="s">
        <v>11</v>
      </c>
      <c r="C6" s="343" t="s">
        <v>19</v>
      </c>
      <c r="D6" s="344"/>
      <c r="E6" s="345"/>
      <c r="F6" s="320" t="s">
        <v>243</v>
      </c>
      <c r="G6" s="330"/>
      <c r="H6" s="330"/>
      <c r="I6" s="320" t="s">
        <v>58</v>
      </c>
      <c r="J6" s="330"/>
      <c r="K6" s="330"/>
    </row>
    <row r="7" spans="1:12" ht="20.45" customHeight="1" x14ac:dyDescent="0.2">
      <c r="A7" s="56"/>
      <c r="B7" s="342"/>
      <c r="C7" s="346"/>
      <c r="D7" s="347"/>
      <c r="E7" s="348"/>
      <c r="F7" s="139" t="s">
        <v>59</v>
      </c>
      <c r="G7" s="140" t="s">
        <v>78</v>
      </c>
      <c r="H7" s="139" t="s">
        <v>79</v>
      </c>
      <c r="I7" s="139" t="s">
        <v>59</v>
      </c>
      <c r="J7" s="140" t="s">
        <v>78</v>
      </c>
      <c r="K7" s="139" t="s">
        <v>79</v>
      </c>
    </row>
    <row r="8" spans="1:12" s="40" customFormat="1" ht="10.5" customHeight="1" x14ac:dyDescent="0.15">
      <c r="A8" s="73"/>
      <c r="B8" s="74" t="s">
        <v>17</v>
      </c>
      <c r="C8" s="354" t="s">
        <v>22</v>
      </c>
      <c r="D8" s="355"/>
      <c r="E8" s="356"/>
      <c r="F8" s="75" t="s">
        <v>28</v>
      </c>
      <c r="G8" s="75" t="s">
        <v>29</v>
      </c>
      <c r="H8" s="75" t="s">
        <v>30</v>
      </c>
      <c r="I8" s="75" t="s">
        <v>28</v>
      </c>
      <c r="J8" s="75" t="s">
        <v>29</v>
      </c>
      <c r="K8" s="75" t="s">
        <v>30</v>
      </c>
    </row>
    <row r="9" spans="1:12" x14ac:dyDescent="0.2">
      <c r="A9" s="57"/>
      <c r="B9" s="66" t="s">
        <v>77</v>
      </c>
      <c r="C9" s="331" t="s">
        <v>0</v>
      </c>
      <c r="D9" s="331"/>
      <c r="E9" s="332"/>
      <c r="F9" s="70">
        <v>4912588.1720130006</v>
      </c>
      <c r="G9" s="70">
        <v>0</v>
      </c>
      <c r="H9" s="58">
        <v>0</v>
      </c>
      <c r="I9" s="70">
        <v>4125714.0279359994</v>
      </c>
      <c r="J9" s="70">
        <v>0</v>
      </c>
      <c r="K9" s="58">
        <v>0</v>
      </c>
    </row>
    <row r="10" spans="1:12" x14ac:dyDescent="0.2">
      <c r="A10" s="59"/>
      <c r="B10" s="67" t="s">
        <v>82</v>
      </c>
      <c r="C10" s="339" t="s">
        <v>1</v>
      </c>
      <c r="D10" s="339"/>
      <c r="E10" s="340"/>
      <c r="F10" s="71">
        <v>64905.934932000004</v>
      </c>
      <c r="G10" s="71">
        <v>19255.244466000004</v>
      </c>
      <c r="H10" s="61">
        <v>19255.244466000004</v>
      </c>
      <c r="I10" s="71">
        <v>114670.83726099999</v>
      </c>
      <c r="J10" s="71">
        <v>33045.858630499999</v>
      </c>
      <c r="K10" s="61">
        <v>26349.430057999998</v>
      </c>
    </row>
    <row r="11" spans="1:12" x14ac:dyDescent="0.2">
      <c r="A11" s="57"/>
      <c r="B11" s="67" t="s">
        <v>83</v>
      </c>
      <c r="C11" s="331" t="s">
        <v>2</v>
      </c>
      <c r="D11" s="331"/>
      <c r="E11" s="332"/>
      <c r="F11" s="71">
        <v>463.74705499999999</v>
      </c>
      <c r="G11" s="71">
        <v>231.87352749999999</v>
      </c>
      <c r="H11" s="61">
        <v>231.87352749999999</v>
      </c>
      <c r="I11" s="71">
        <v>175.88904600000001</v>
      </c>
      <c r="J11" s="71">
        <v>87.944523000000004</v>
      </c>
      <c r="K11" s="61">
        <v>87.944523000000004</v>
      </c>
    </row>
    <row r="12" spans="1:12" x14ac:dyDescent="0.2">
      <c r="A12" s="57"/>
      <c r="B12" s="67" t="s">
        <v>84</v>
      </c>
      <c r="C12" s="331" t="s">
        <v>68</v>
      </c>
      <c r="D12" s="331"/>
      <c r="E12" s="332"/>
      <c r="F12" s="71">
        <v>3438685.3539760001</v>
      </c>
      <c r="G12" s="71">
        <v>732820.16400079988</v>
      </c>
      <c r="H12" s="62">
        <v>732820.16400079988</v>
      </c>
      <c r="I12" s="71">
        <v>1445230.801344</v>
      </c>
      <c r="J12" s="71">
        <v>313064.59567110002</v>
      </c>
      <c r="K12" s="62">
        <v>313064.59567110002</v>
      </c>
    </row>
    <row r="13" spans="1:12" x14ac:dyDescent="0.2">
      <c r="A13" s="57"/>
      <c r="B13" s="68" t="s">
        <v>85</v>
      </c>
      <c r="C13" s="331" t="s">
        <v>4</v>
      </c>
      <c r="D13" s="331"/>
      <c r="E13" s="332"/>
      <c r="F13" s="72">
        <v>371291.10466399998</v>
      </c>
      <c r="G13" s="72">
        <v>110641.35685454999</v>
      </c>
      <c r="H13" s="61">
        <v>110641.35685454999</v>
      </c>
      <c r="I13" s="72">
        <v>241209.872431</v>
      </c>
      <c r="J13" s="72">
        <v>84423.455350849996</v>
      </c>
      <c r="K13" s="61">
        <v>84423.455350849996</v>
      </c>
    </row>
    <row r="14" spans="1:12" x14ac:dyDescent="0.2">
      <c r="A14" s="57"/>
      <c r="B14" s="68" t="s">
        <v>86</v>
      </c>
      <c r="C14" s="331" t="s">
        <v>5</v>
      </c>
      <c r="D14" s="331"/>
      <c r="E14" s="332"/>
      <c r="F14" s="72">
        <v>106468.491033</v>
      </c>
      <c r="G14" s="72">
        <v>106468.491033</v>
      </c>
      <c r="H14" s="61">
        <v>106468.491033</v>
      </c>
      <c r="I14" s="72">
        <v>62471.178787999997</v>
      </c>
      <c r="J14" s="72">
        <v>62471.178787999997</v>
      </c>
      <c r="K14" s="61">
        <v>62471.178787999997</v>
      </c>
    </row>
    <row r="15" spans="1:12" x14ac:dyDescent="0.2">
      <c r="A15" s="57"/>
      <c r="B15" s="68" t="s">
        <v>87</v>
      </c>
      <c r="C15" s="331" t="s">
        <v>6</v>
      </c>
      <c r="D15" s="331"/>
      <c r="E15" s="332"/>
      <c r="F15" s="72">
        <v>10707318.12713</v>
      </c>
      <c r="G15" s="72">
        <v>5353659.063565</v>
      </c>
      <c r="H15" s="61">
        <v>5352434.1445030998</v>
      </c>
      <c r="I15" s="72">
        <v>10123841.65105</v>
      </c>
      <c r="J15" s="72">
        <v>5061920.8255249998</v>
      </c>
      <c r="K15" s="61">
        <v>5061292.5808078991</v>
      </c>
    </row>
    <row r="16" spans="1:12" x14ac:dyDescent="0.2">
      <c r="A16" s="57"/>
      <c r="B16" s="68" t="s">
        <v>88</v>
      </c>
      <c r="C16" s="331" t="s">
        <v>7</v>
      </c>
      <c r="D16" s="331"/>
      <c r="E16" s="332"/>
      <c r="F16" s="72">
        <v>1047830.090904</v>
      </c>
      <c r="G16" s="72">
        <v>785872.56817799993</v>
      </c>
      <c r="H16" s="61">
        <v>745797.58547805005</v>
      </c>
      <c r="I16" s="72">
        <v>1020447.584684</v>
      </c>
      <c r="J16" s="72">
        <v>765335.68851300003</v>
      </c>
      <c r="K16" s="61">
        <v>716057.07600869995</v>
      </c>
    </row>
    <row r="17" spans="1:11" x14ac:dyDescent="0.2">
      <c r="A17" s="57"/>
      <c r="B17" s="69" t="s">
        <v>89</v>
      </c>
      <c r="C17" s="331" t="s">
        <v>8</v>
      </c>
      <c r="D17" s="331"/>
      <c r="E17" s="332"/>
      <c r="F17" s="71">
        <v>2490957.3106629997</v>
      </c>
      <c r="G17" s="71">
        <v>2465957.3106629997</v>
      </c>
      <c r="H17" s="60">
        <v>2447396.4760579998</v>
      </c>
      <c r="I17" s="71">
        <v>1816198.7691409998</v>
      </c>
      <c r="J17" s="71">
        <v>1719200.0491409998</v>
      </c>
      <c r="K17" s="60">
        <v>1677063.0039059997</v>
      </c>
    </row>
    <row r="18" spans="1:11" x14ac:dyDescent="0.2">
      <c r="A18" s="57"/>
      <c r="B18" s="68" t="s">
        <v>90</v>
      </c>
      <c r="C18" s="331" t="s">
        <v>9</v>
      </c>
      <c r="D18" s="331"/>
      <c r="E18" s="332"/>
      <c r="F18" s="71">
        <v>308025.47320100002</v>
      </c>
      <c r="G18" s="71">
        <v>458119.06426900002</v>
      </c>
      <c r="H18" s="60">
        <v>457361.74410340004</v>
      </c>
      <c r="I18" s="71">
        <v>286787.56357100001</v>
      </c>
      <c r="J18" s="71">
        <v>365468.35408750002</v>
      </c>
      <c r="K18" s="60">
        <v>364611.55109760002</v>
      </c>
    </row>
    <row r="19" spans="1:11" x14ac:dyDescent="0.2">
      <c r="A19" s="57"/>
      <c r="B19" s="178" t="s">
        <v>91</v>
      </c>
      <c r="C19" s="321" t="s">
        <v>10</v>
      </c>
      <c r="D19" s="321"/>
      <c r="E19" s="322"/>
      <c r="F19" s="72">
        <v>2273809.9476290001</v>
      </c>
      <c r="G19" s="72">
        <v>0</v>
      </c>
      <c r="H19" s="64">
        <v>1772314.1277310001</v>
      </c>
      <c r="I19" s="72">
        <v>2195608.7007209999</v>
      </c>
      <c r="J19" s="72">
        <v>0</v>
      </c>
      <c r="K19" s="64">
        <v>1621487.4906189998</v>
      </c>
    </row>
    <row r="20" spans="1:11" x14ac:dyDescent="0.2">
      <c r="A20" s="57"/>
      <c r="B20" s="333" t="s">
        <v>97</v>
      </c>
      <c r="C20" s="334"/>
      <c r="D20" s="334"/>
      <c r="E20" s="335"/>
      <c r="F20" s="147">
        <f t="shared" ref="F20:K20" si="0">SUM(F9:F19)</f>
        <v>25722343.753200002</v>
      </c>
      <c r="G20" s="147">
        <f t="shared" si="0"/>
        <v>10033025.136556851</v>
      </c>
      <c r="H20" s="147">
        <f t="shared" si="0"/>
        <v>11744721.207755398</v>
      </c>
      <c r="I20" s="147">
        <f t="shared" si="0"/>
        <v>21432356.875972997</v>
      </c>
      <c r="J20" s="147">
        <f t="shared" si="0"/>
        <v>8405017.9502299502</v>
      </c>
      <c r="K20" s="147">
        <f t="shared" si="0"/>
        <v>9926908.3068301473</v>
      </c>
    </row>
    <row r="23" spans="1:11" x14ac:dyDescent="0.2">
      <c r="A23" s="53" t="s">
        <v>81</v>
      </c>
      <c r="B23" s="349" t="s">
        <v>101</v>
      </c>
      <c r="C23" s="349"/>
      <c r="D23" s="349"/>
      <c r="E23" s="349"/>
      <c r="F23" s="349"/>
      <c r="G23" s="349"/>
      <c r="H23" s="349"/>
    </row>
    <row r="24" spans="1:11" x14ac:dyDescent="0.2">
      <c r="A24" s="53"/>
      <c r="B24" s="175"/>
      <c r="C24" s="175"/>
      <c r="D24" s="175"/>
      <c r="E24" s="175"/>
      <c r="F24" s="175"/>
      <c r="G24" s="175"/>
      <c r="H24" s="175"/>
    </row>
    <row r="25" spans="1:11" ht="14.45" customHeight="1" x14ac:dyDescent="0.2">
      <c r="A25" s="76"/>
      <c r="B25" s="341" t="s">
        <v>11</v>
      </c>
      <c r="C25" s="343" t="s">
        <v>19</v>
      </c>
      <c r="D25" s="344"/>
      <c r="E25" s="345"/>
      <c r="F25" s="320" t="s">
        <v>243</v>
      </c>
      <c r="G25" s="330"/>
      <c r="H25" s="330"/>
      <c r="I25" s="320" t="s">
        <v>58</v>
      </c>
      <c r="J25" s="330"/>
      <c r="K25" s="330"/>
    </row>
    <row r="26" spans="1:11" ht="33.75" x14ac:dyDescent="0.2">
      <c r="A26" s="57"/>
      <c r="B26" s="342"/>
      <c r="C26" s="346"/>
      <c r="D26" s="347"/>
      <c r="E26" s="348"/>
      <c r="F26" s="141" t="s">
        <v>59</v>
      </c>
      <c r="G26" s="139" t="s">
        <v>78</v>
      </c>
      <c r="H26" s="139" t="s">
        <v>79</v>
      </c>
      <c r="I26" s="141" t="s">
        <v>59</v>
      </c>
      <c r="J26" s="139" t="s">
        <v>78</v>
      </c>
      <c r="K26" s="139" t="s">
        <v>79</v>
      </c>
    </row>
    <row r="27" spans="1:11" s="40" customFormat="1" ht="10.5" customHeight="1" x14ac:dyDescent="0.15">
      <c r="A27" s="73"/>
      <c r="B27" s="74" t="s">
        <v>17</v>
      </c>
      <c r="C27" s="354" t="s">
        <v>22</v>
      </c>
      <c r="D27" s="355"/>
      <c r="E27" s="356"/>
      <c r="F27" s="75" t="s">
        <v>28</v>
      </c>
      <c r="G27" s="75" t="s">
        <v>29</v>
      </c>
      <c r="H27" s="75" t="s">
        <v>30</v>
      </c>
      <c r="I27" s="75" t="s">
        <v>28</v>
      </c>
      <c r="J27" s="75" t="s">
        <v>29</v>
      </c>
      <c r="K27" s="75" t="s">
        <v>30</v>
      </c>
    </row>
    <row r="28" spans="1:11" x14ac:dyDescent="0.2">
      <c r="A28" s="57"/>
      <c r="B28" s="66" t="s">
        <v>77</v>
      </c>
      <c r="C28" s="331" t="s">
        <v>0</v>
      </c>
      <c r="D28" s="331"/>
      <c r="E28" s="332"/>
      <c r="F28" s="70">
        <v>32.611588599999997</v>
      </c>
      <c r="G28" s="70">
        <v>0</v>
      </c>
      <c r="H28" s="70">
        <v>0</v>
      </c>
      <c r="I28" s="70">
        <v>0</v>
      </c>
      <c r="J28" s="70">
        <v>0</v>
      </c>
      <c r="K28" s="70">
        <v>0</v>
      </c>
    </row>
    <row r="29" spans="1:11" x14ac:dyDescent="0.2">
      <c r="A29" s="81"/>
      <c r="B29" s="67" t="s">
        <v>82</v>
      </c>
      <c r="C29" s="339" t="s">
        <v>1</v>
      </c>
      <c r="D29" s="339"/>
      <c r="E29" s="340"/>
      <c r="F29" s="87">
        <v>4740.2160274999997</v>
      </c>
      <c r="G29" s="87">
        <v>2370.1080137499998</v>
      </c>
      <c r="H29" s="88">
        <v>2288.1898294999996</v>
      </c>
      <c r="I29" s="87">
        <v>135894.926205</v>
      </c>
      <c r="J29" s="87">
        <v>67947.463102499998</v>
      </c>
      <c r="K29" s="88">
        <v>40010.328607249998</v>
      </c>
    </row>
    <row r="30" spans="1:11" x14ac:dyDescent="0.2">
      <c r="A30" s="57"/>
      <c r="B30" s="67" t="s">
        <v>83</v>
      </c>
      <c r="C30" s="331" t="s">
        <v>98</v>
      </c>
      <c r="D30" s="331"/>
      <c r="E30" s="332"/>
      <c r="F30" s="87">
        <v>0</v>
      </c>
      <c r="G30" s="87">
        <v>0</v>
      </c>
      <c r="H30" s="88">
        <v>0</v>
      </c>
      <c r="I30" s="87">
        <v>0</v>
      </c>
      <c r="J30" s="87">
        <v>0</v>
      </c>
      <c r="K30" s="88">
        <v>0</v>
      </c>
    </row>
    <row r="31" spans="1:11" x14ac:dyDescent="0.2">
      <c r="A31" s="81"/>
      <c r="B31" s="67" t="s">
        <v>84</v>
      </c>
      <c r="C31" s="331" t="s">
        <v>99</v>
      </c>
      <c r="D31" s="331"/>
      <c r="E31" s="332"/>
      <c r="F31" s="87">
        <v>89.357516799999999</v>
      </c>
      <c r="G31" s="87">
        <v>17.871503360000002</v>
      </c>
      <c r="H31" s="87">
        <v>17.871503360000002</v>
      </c>
      <c r="I31" s="87">
        <v>4166.1134934000002</v>
      </c>
      <c r="J31" s="87">
        <v>833.22269868000012</v>
      </c>
      <c r="K31" s="87">
        <v>833.22269868000012</v>
      </c>
    </row>
    <row r="32" spans="1:11" x14ac:dyDescent="0.2">
      <c r="A32" s="81"/>
      <c r="B32" s="68" t="s">
        <v>85</v>
      </c>
      <c r="C32" s="331" t="s">
        <v>4</v>
      </c>
      <c r="D32" s="331"/>
      <c r="E32" s="332"/>
      <c r="F32" s="87">
        <v>28.4766975</v>
      </c>
      <c r="G32" s="87">
        <v>9.9668441249999997</v>
      </c>
      <c r="H32" s="88">
        <v>9.9668441249999997</v>
      </c>
      <c r="I32" s="87">
        <v>28.866493999999999</v>
      </c>
      <c r="J32" s="87">
        <v>10.103272899999999</v>
      </c>
      <c r="K32" s="88">
        <v>10.103272899999999</v>
      </c>
    </row>
    <row r="33" spans="1:11" x14ac:dyDescent="0.2">
      <c r="A33" s="81"/>
      <c r="B33" s="68" t="s">
        <v>86</v>
      </c>
      <c r="C33" s="331" t="s">
        <v>5</v>
      </c>
      <c r="D33" s="331"/>
      <c r="E33" s="332"/>
      <c r="F33" s="87">
        <v>1428.0275810000001</v>
      </c>
      <c r="G33" s="87">
        <v>1428.0275810000001</v>
      </c>
      <c r="H33" s="88">
        <v>1428.0275810000001</v>
      </c>
      <c r="I33" s="87">
        <v>0</v>
      </c>
      <c r="J33" s="87">
        <v>0</v>
      </c>
      <c r="K33" s="88">
        <v>0</v>
      </c>
    </row>
    <row r="34" spans="1:11" x14ac:dyDescent="0.2">
      <c r="A34" s="81"/>
      <c r="B34" s="68" t="s">
        <v>87</v>
      </c>
      <c r="C34" s="331" t="s">
        <v>6</v>
      </c>
      <c r="D34" s="331"/>
      <c r="E34" s="332"/>
      <c r="F34" s="89">
        <v>1.3168150000000001</v>
      </c>
      <c r="G34" s="89">
        <v>0.65840750000000003</v>
      </c>
      <c r="H34" s="88">
        <v>0.65840750000000003</v>
      </c>
      <c r="I34" s="89">
        <v>1.5668150000000001</v>
      </c>
      <c r="J34" s="89">
        <v>0.78340750000000003</v>
      </c>
      <c r="K34" s="88">
        <v>0.78340750000000003</v>
      </c>
    </row>
    <row r="35" spans="1:11" x14ac:dyDescent="0.2">
      <c r="A35" s="81"/>
      <c r="B35" s="68" t="s">
        <v>88</v>
      </c>
      <c r="C35" s="331" t="s">
        <v>7</v>
      </c>
      <c r="D35" s="331"/>
      <c r="E35" s="332"/>
      <c r="F35" s="87">
        <v>68655.038800000009</v>
      </c>
      <c r="G35" s="87">
        <v>51491.279100000007</v>
      </c>
      <c r="H35" s="88">
        <v>40043.759827375005</v>
      </c>
      <c r="I35" s="87">
        <v>102132.1931512</v>
      </c>
      <c r="J35" s="87">
        <v>76599.144863399997</v>
      </c>
      <c r="K35" s="88">
        <v>62019.245690675001</v>
      </c>
    </row>
    <row r="36" spans="1:11" x14ac:dyDescent="0.2">
      <c r="A36" s="81"/>
      <c r="B36" s="67" t="s">
        <v>89</v>
      </c>
      <c r="C36" s="331" t="s">
        <v>8</v>
      </c>
      <c r="D36" s="331"/>
      <c r="E36" s="332"/>
      <c r="F36" s="87">
        <v>520401.0477102088</v>
      </c>
      <c r="G36" s="87">
        <v>520401.0477102088</v>
      </c>
      <c r="H36" s="88">
        <v>473794.9207522088</v>
      </c>
      <c r="I36" s="87">
        <v>304726.8521059</v>
      </c>
      <c r="J36" s="87">
        <v>304726.8521059</v>
      </c>
      <c r="K36" s="88">
        <v>266498.76431090001</v>
      </c>
    </row>
    <row r="37" spans="1:11" x14ac:dyDescent="0.2">
      <c r="A37" s="81"/>
      <c r="B37" s="68" t="s">
        <v>90</v>
      </c>
      <c r="C37" s="331" t="s">
        <v>9</v>
      </c>
      <c r="D37" s="331"/>
      <c r="E37" s="332"/>
      <c r="F37" s="89">
        <v>9034.4078355000001</v>
      </c>
      <c r="G37" s="89">
        <v>13551.611753249999</v>
      </c>
      <c r="H37" s="89">
        <v>13551.611753249999</v>
      </c>
      <c r="I37" s="89">
        <v>6166.3659109999999</v>
      </c>
      <c r="J37" s="89">
        <v>9249.5488664999993</v>
      </c>
      <c r="K37" s="89">
        <v>9249.5488664999993</v>
      </c>
    </row>
    <row r="38" spans="1:11" x14ac:dyDescent="0.2">
      <c r="A38" s="81"/>
      <c r="B38" s="333" t="s">
        <v>97</v>
      </c>
      <c r="C38" s="334"/>
      <c r="D38" s="334"/>
      <c r="E38" s="335"/>
      <c r="F38" s="148">
        <f>SUM(F28:F37)</f>
        <v>604410.50057210878</v>
      </c>
      <c r="G38" s="148">
        <f>SUM(G28:G37)</f>
        <v>589270.57091319386</v>
      </c>
      <c r="H38" s="148">
        <f>SUM(H28:H37)</f>
        <v>531135.00649831875</v>
      </c>
      <c r="I38" s="148">
        <f>SUM(I28:I37)</f>
        <v>553116.8841754999</v>
      </c>
      <c r="J38" s="148">
        <f t="shared" ref="J38:K38" si="1">SUM(J28:J37)</f>
        <v>459367.11831737997</v>
      </c>
      <c r="K38" s="148">
        <f t="shared" si="1"/>
        <v>378621.99685440498</v>
      </c>
    </row>
    <row r="41" spans="1:11" x14ac:dyDescent="0.2">
      <c r="A41" s="177" t="s">
        <v>93</v>
      </c>
      <c r="B41" s="319" t="s">
        <v>103</v>
      </c>
      <c r="C41" s="319"/>
      <c r="D41" s="319"/>
      <c r="E41" s="319"/>
      <c r="F41" s="319"/>
      <c r="G41" s="319"/>
      <c r="H41" s="319"/>
    </row>
    <row r="42" spans="1:11" x14ac:dyDescent="0.2">
      <c r="A42" s="177"/>
      <c r="B42" s="319"/>
      <c r="C42" s="319"/>
      <c r="D42" s="319"/>
      <c r="E42" s="319"/>
      <c r="F42" s="319"/>
      <c r="G42" s="319"/>
      <c r="H42" s="319"/>
    </row>
    <row r="43" spans="1:11" ht="14.45" customHeight="1" x14ac:dyDescent="0.2">
      <c r="A43" s="81"/>
      <c r="B43" s="341" t="s">
        <v>11</v>
      </c>
      <c r="C43" s="343" t="s">
        <v>19</v>
      </c>
      <c r="D43" s="344"/>
      <c r="E43" s="345"/>
      <c r="F43" s="320" t="s">
        <v>243</v>
      </c>
      <c r="G43" s="330"/>
      <c r="H43" s="330"/>
      <c r="I43" s="320" t="s">
        <v>23</v>
      </c>
      <c r="J43" s="330"/>
      <c r="K43" s="330"/>
    </row>
    <row r="44" spans="1:11" ht="33.75" x14ac:dyDescent="0.2">
      <c r="A44" s="56"/>
      <c r="B44" s="342"/>
      <c r="C44" s="346"/>
      <c r="D44" s="347"/>
      <c r="E44" s="348"/>
      <c r="F44" s="142" t="s">
        <v>59</v>
      </c>
      <c r="G44" s="140" t="s">
        <v>78</v>
      </c>
      <c r="H44" s="139" t="s">
        <v>79</v>
      </c>
      <c r="I44" s="142" t="s">
        <v>59</v>
      </c>
      <c r="J44" s="140" t="s">
        <v>78</v>
      </c>
      <c r="K44" s="139" t="s">
        <v>79</v>
      </c>
    </row>
    <row r="45" spans="1:11" x14ac:dyDescent="0.2">
      <c r="A45" s="57"/>
      <c r="B45" s="74" t="s">
        <v>17</v>
      </c>
      <c r="C45" s="354" t="s">
        <v>22</v>
      </c>
      <c r="D45" s="355"/>
      <c r="E45" s="356"/>
      <c r="F45" s="75" t="s">
        <v>28</v>
      </c>
      <c r="G45" s="75" t="s">
        <v>29</v>
      </c>
      <c r="H45" s="75" t="s">
        <v>30</v>
      </c>
      <c r="I45" s="75" t="s">
        <v>28</v>
      </c>
      <c r="J45" s="75" t="s">
        <v>29</v>
      </c>
      <c r="K45" s="75" t="s">
        <v>30</v>
      </c>
    </row>
    <row r="46" spans="1:11" x14ac:dyDescent="0.2">
      <c r="A46" s="57"/>
      <c r="B46" s="66" t="s">
        <v>77</v>
      </c>
      <c r="C46" s="331" t="s">
        <v>0</v>
      </c>
      <c r="D46" s="331"/>
      <c r="E46" s="332"/>
      <c r="F46" s="86">
        <v>478576.9</v>
      </c>
      <c r="G46" s="86"/>
      <c r="H46" s="87"/>
      <c r="I46" s="86">
        <v>290969.09999999998</v>
      </c>
      <c r="J46" s="86">
        <v>0</v>
      </c>
      <c r="K46" s="87">
        <v>0</v>
      </c>
    </row>
    <row r="47" spans="1:11" x14ac:dyDescent="0.2">
      <c r="A47" s="81"/>
      <c r="B47" s="67" t="s">
        <v>82</v>
      </c>
      <c r="C47" s="339" t="s">
        <v>1</v>
      </c>
      <c r="D47" s="339"/>
      <c r="E47" s="340"/>
      <c r="F47" s="87"/>
      <c r="G47" s="87"/>
      <c r="H47" s="88"/>
      <c r="I47" s="87">
        <v>0</v>
      </c>
      <c r="J47" s="87">
        <v>0</v>
      </c>
      <c r="K47" s="88">
        <v>0</v>
      </c>
    </row>
    <row r="48" spans="1:11" x14ac:dyDescent="0.2">
      <c r="A48" s="57"/>
      <c r="B48" s="67" t="s">
        <v>83</v>
      </c>
      <c r="C48" s="331" t="s">
        <v>98</v>
      </c>
      <c r="D48" s="331"/>
      <c r="E48" s="332"/>
      <c r="F48" s="87"/>
      <c r="G48" s="87"/>
      <c r="H48" s="88"/>
      <c r="I48" s="87">
        <v>0</v>
      </c>
      <c r="J48" s="87">
        <v>0</v>
      </c>
      <c r="K48" s="88">
        <v>0</v>
      </c>
    </row>
    <row r="49" spans="1:11" x14ac:dyDescent="0.2">
      <c r="A49" s="81"/>
      <c r="B49" s="67" t="s">
        <v>84</v>
      </c>
      <c r="C49" s="331" t="s">
        <v>99</v>
      </c>
      <c r="D49" s="331"/>
      <c r="E49" s="332"/>
      <c r="F49" s="87"/>
      <c r="G49" s="87"/>
      <c r="H49" s="87"/>
      <c r="I49" s="87">
        <v>0</v>
      </c>
      <c r="J49" s="87">
        <v>0</v>
      </c>
      <c r="K49" s="87">
        <v>0</v>
      </c>
    </row>
    <row r="50" spans="1:11" x14ac:dyDescent="0.2">
      <c r="A50" s="81"/>
      <c r="B50" s="68" t="s">
        <v>85</v>
      </c>
      <c r="C50" s="331" t="s">
        <v>7</v>
      </c>
      <c r="D50" s="331"/>
      <c r="E50" s="332"/>
      <c r="F50" s="87"/>
      <c r="G50" s="87"/>
      <c r="H50" s="88"/>
      <c r="I50" s="87">
        <v>0</v>
      </c>
      <c r="J50" s="87">
        <v>0</v>
      </c>
      <c r="K50" s="88">
        <v>0</v>
      </c>
    </row>
    <row r="51" spans="1:11" x14ac:dyDescent="0.2">
      <c r="A51" s="81"/>
      <c r="B51" s="67" t="s">
        <v>86</v>
      </c>
      <c r="C51" s="331" t="s">
        <v>8</v>
      </c>
      <c r="D51" s="331"/>
      <c r="E51" s="332"/>
      <c r="F51" s="87"/>
      <c r="G51" s="87"/>
      <c r="H51" s="88"/>
      <c r="I51" s="87">
        <v>0</v>
      </c>
      <c r="J51" s="87">
        <v>0</v>
      </c>
      <c r="K51" s="88">
        <v>0</v>
      </c>
    </row>
    <row r="52" spans="1:11" x14ac:dyDescent="0.2">
      <c r="A52" s="81"/>
      <c r="B52" s="149" t="s">
        <v>87</v>
      </c>
      <c r="C52" s="171" t="s">
        <v>102</v>
      </c>
      <c r="D52" s="171"/>
      <c r="E52" s="172"/>
      <c r="F52" s="87"/>
      <c r="G52" s="87"/>
      <c r="H52" s="88"/>
      <c r="I52" s="87">
        <v>0</v>
      </c>
      <c r="J52" s="87">
        <v>0</v>
      </c>
      <c r="K52" s="88">
        <v>0</v>
      </c>
    </row>
    <row r="53" spans="1:11" x14ac:dyDescent="0.2">
      <c r="A53" s="81"/>
      <c r="B53" s="333" t="s">
        <v>97</v>
      </c>
      <c r="C53" s="334"/>
      <c r="D53" s="334"/>
      <c r="E53" s="335"/>
      <c r="F53" s="148">
        <f>SUM(F46:F52)</f>
        <v>478576.9</v>
      </c>
      <c r="G53" s="148">
        <f t="shared" ref="G53:K53" si="2">SUM(G46:G52)</f>
        <v>0</v>
      </c>
      <c r="H53" s="148">
        <f t="shared" si="2"/>
        <v>0</v>
      </c>
      <c r="I53" s="148">
        <f t="shared" si="2"/>
        <v>290969.09999999998</v>
      </c>
      <c r="J53" s="148">
        <f t="shared" si="2"/>
        <v>0</v>
      </c>
      <c r="K53" s="148">
        <f t="shared" si="2"/>
        <v>0</v>
      </c>
    </row>
    <row r="56" spans="1:11" x14ac:dyDescent="0.2">
      <c r="A56" s="177" t="s">
        <v>94</v>
      </c>
      <c r="B56" s="319" t="s">
        <v>113</v>
      </c>
      <c r="C56" s="319"/>
      <c r="D56" s="319"/>
      <c r="E56" s="319"/>
      <c r="F56" s="319"/>
      <c r="G56" s="319"/>
      <c r="H56" s="319"/>
    </row>
    <row r="57" spans="1:11" x14ac:dyDescent="0.2">
      <c r="A57" s="177"/>
      <c r="B57" s="319"/>
      <c r="C57" s="319"/>
      <c r="D57" s="319"/>
      <c r="E57" s="319"/>
      <c r="F57" s="319"/>
      <c r="G57" s="319"/>
      <c r="H57" s="319"/>
    </row>
    <row r="58" spans="1:11" ht="14.45" customHeight="1" x14ac:dyDescent="0.2">
      <c r="A58" s="177"/>
      <c r="B58" s="307" t="s">
        <v>11</v>
      </c>
      <c r="C58" s="309" t="s">
        <v>104</v>
      </c>
      <c r="D58" s="310"/>
      <c r="E58" s="311"/>
      <c r="F58" s="320" t="s">
        <v>243</v>
      </c>
      <c r="G58" s="330"/>
      <c r="H58" s="330"/>
      <c r="I58" s="320" t="s">
        <v>58</v>
      </c>
      <c r="J58" s="330"/>
      <c r="K58" s="330"/>
    </row>
    <row r="59" spans="1:11" ht="33.75" x14ac:dyDescent="0.2">
      <c r="A59" s="177"/>
      <c r="B59" s="308"/>
      <c r="C59" s="312"/>
      <c r="D59" s="313"/>
      <c r="E59" s="314"/>
      <c r="F59" s="143" t="s">
        <v>105</v>
      </c>
      <c r="G59" s="144" t="s">
        <v>106</v>
      </c>
      <c r="H59" s="174" t="s">
        <v>26</v>
      </c>
      <c r="I59" s="143" t="s">
        <v>105</v>
      </c>
      <c r="J59" s="144" t="s">
        <v>106</v>
      </c>
      <c r="K59" s="174" t="s">
        <v>26</v>
      </c>
    </row>
    <row r="60" spans="1:11" x14ac:dyDescent="0.2">
      <c r="A60" s="177"/>
      <c r="B60" s="179" t="s">
        <v>17</v>
      </c>
      <c r="C60" s="360" t="s">
        <v>22</v>
      </c>
      <c r="D60" s="361"/>
      <c r="E60" s="362"/>
      <c r="F60" s="74" t="s">
        <v>28</v>
      </c>
      <c r="G60" s="160" t="s">
        <v>29</v>
      </c>
      <c r="H60" s="160" t="s">
        <v>30</v>
      </c>
      <c r="I60" s="161" t="s">
        <v>28</v>
      </c>
      <c r="J60" s="160" t="s">
        <v>29</v>
      </c>
      <c r="K60" s="160" t="s">
        <v>30</v>
      </c>
    </row>
    <row r="61" spans="1:11" x14ac:dyDescent="0.2">
      <c r="A61" s="81"/>
      <c r="B61" s="68" t="s">
        <v>77</v>
      </c>
      <c r="C61" s="321" t="s">
        <v>107</v>
      </c>
      <c r="D61" s="321"/>
      <c r="E61" s="322"/>
      <c r="F61" s="93">
        <v>0</v>
      </c>
      <c r="G61" s="93">
        <v>0</v>
      </c>
      <c r="H61" s="93">
        <v>0</v>
      </c>
      <c r="I61" s="93">
        <v>0</v>
      </c>
      <c r="J61" s="93">
        <v>0</v>
      </c>
      <c r="K61" s="93">
        <v>0</v>
      </c>
    </row>
    <row r="62" spans="1:11" x14ac:dyDescent="0.2">
      <c r="A62" s="81"/>
      <c r="B62" s="68"/>
      <c r="C62" s="176" t="s">
        <v>80</v>
      </c>
      <c r="D62" s="321" t="s">
        <v>108</v>
      </c>
      <c r="E62" s="322"/>
      <c r="F62" s="79">
        <v>0</v>
      </c>
      <c r="G62" s="79">
        <v>0</v>
      </c>
      <c r="H62" s="79">
        <v>0</v>
      </c>
      <c r="I62" s="79">
        <v>0</v>
      </c>
      <c r="J62" s="79">
        <v>0</v>
      </c>
      <c r="K62" s="79">
        <v>0</v>
      </c>
    </row>
    <row r="63" spans="1:11" x14ac:dyDescent="0.2">
      <c r="A63" s="81"/>
      <c r="B63" s="68"/>
      <c r="C63" s="176" t="s">
        <v>81</v>
      </c>
      <c r="D63" s="321" t="s">
        <v>109</v>
      </c>
      <c r="E63" s="322"/>
      <c r="F63" s="79">
        <v>0</v>
      </c>
      <c r="G63" s="79">
        <v>0</v>
      </c>
      <c r="H63" s="79">
        <v>0</v>
      </c>
      <c r="I63" s="79">
        <v>0</v>
      </c>
      <c r="J63" s="79">
        <v>0</v>
      </c>
      <c r="K63" s="79">
        <v>0</v>
      </c>
    </row>
    <row r="64" spans="1:11" x14ac:dyDescent="0.2">
      <c r="A64" s="81"/>
      <c r="B64" s="68"/>
      <c r="C64" s="176" t="s">
        <v>93</v>
      </c>
      <c r="D64" s="321" t="s">
        <v>110</v>
      </c>
      <c r="E64" s="322"/>
      <c r="F64" s="79">
        <v>0</v>
      </c>
      <c r="G64" s="79">
        <v>0</v>
      </c>
      <c r="H64" s="79">
        <v>0</v>
      </c>
      <c r="I64" s="79">
        <v>0</v>
      </c>
      <c r="J64" s="79">
        <v>0</v>
      </c>
      <c r="K64" s="79">
        <v>0</v>
      </c>
    </row>
    <row r="65" spans="1:11" x14ac:dyDescent="0.2">
      <c r="A65" s="81"/>
      <c r="B65" s="68"/>
      <c r="C65" s="176" t="s">
        <v>94</v>
      </c>
      <c r="D65" s="321" t="s">
        <v>111</v>
      </c>
      <c r="E65" s="322"/>
      <c r="F65" s="79">
        <v>0</v>
      </c>
      <c r="G65" s="79">
        <v>0</v>
      </c>
      <c r="H65" s="79">
        <v>0</v>
      </c>
      <c r="I65" s="79">
        <v>0</v>
      </c>
      <c r="J65" s="79">
        <v>0</v>
      </c>
      <c r="K65" s="79">
        <v>0</v>
      </c>
    </row>
    <row r="66" spans="1:11" x14ac:dyDescent="0.2">
      <c r="A66" s="81"/>
      <c r="B66" s="68" t="s">
        <v>82</v>
      </c>
      <c r="C66" s="321" t="s">
        <v>112</v>
      </c>
      <c r="D66" s="321"/>
      <c r="E66" s="322"/>
      <c r="F66" s="79">
        <v>0</v>
      </c>
      <c r="G66" s="79">
        <v>0</v>
      </c>
      <c r="H66" s="79"/>
      <c r="I66" s="79">
        <v>0</v>
      </c>
      <c r="J66" s="79">
        <v>0</v>
      </c>
      <c r="K66" s="79"/>
    </row>
    <row r="67" spans="1:11" x14ac:dyDescent="0.2">
      <c r="A67" s="96"/>
      <c r="B67" s="323" t="s">
        <v>97</v>
      </c>
      <c r="C67" s="324"/>
      <c r="D67" s="324"/>
      <c r="E67" s="325"/>
      <c r="F67" s="93">
        <f>SUM(F61:F66)</f>
        <v>0</v>
      </c>
      <c r="G67" s="93">
        <f t="shared" ref="G67:K67" si="3">SUM(G61:G66)</f>
        <v>0</v>
      </c>
      <c r="H67" s="93">
        <f t="shared" si="3"/>
        <v>0</v>
      </c>
      <c r="I67" s="93">
        <f t="shared" si="3"/>
        <v>0</v>
      </c>
      <c r="J67" s="93">
        <f t="shared" si="3"/>
        <v>0</v>
      </c>
      <c r="K67" s="93">
        <f t="shared" si="3"/>
        <v>0</v>
      </c>
    </row>
    <row r="70" spans="1:11" x14ac:dyDescent="0.2">
      <c r="A70" s="177" t="s">
        <v>95</v>
      </c>
      <c r="B70" s="319" t="s">
        <v>114</v>
      </c>
      <c r="C70" s="319"/>
      <c r="D70" s="319"/>
      <c r="E70" s="319"/>
      <c r="F70" s="319"/>
      <c r="G70" s="319"/>
      <c r="H70" s="319"/>
    </row>
    <row r="71" spans="1:11" x14ac:dyDescent="0.2">
      <c r="A71" s="177"/>
      <c r="B71" s="177"/>
      <c r="C71" s="177"/>
      <c r="D71" s="177"/>
      <c r="E71" s="177"/>
      <c r="F71" s="177"/>
      <c r="G71" s="177"/>
      <c r="H71" s="177"/>
    </row>
    <row r="72" spans="1:11" ht="14.45" customHeight="1" x14ac:dyDescent="0.2">
      <c r="A72" s="177"/>
      <c r="B72" s="307" t="s">
        <v>11</v>
      </c>
      <c r="C72" s="309" t="s">
        <v>104</v>
      </c>
      <c r="D72" s="310"/>
      <c r="E72" s="311"/>
      <c r="F72" s="320" t="s">
        <v>243</v>
      </c>
      <c r="G72" s="320"/>
      <c r="H72" s="320" t="s">
        <v>58</v>
      </c>
      <c r="I72" s="320"/>
      <c r="J72" s="177"/>
      <c r="K72" s="177"/>
    </row>
    <row r="73" spans="1:11" ht="33.75" x14ac:dyDescent="0.2">
      <c r="A73" s="177"/>
      <c r="B73" s="308"/>
      <c r="C73" s="312"/>
      <c r="D73" s="313"/>
      <c r="E73" s="314"/>
      <c r="F73" s="144" t="s">
        <v>106</v>
      </c>
      <c r="G73" s="139" t="s">
        <v>26</v>
      </c>
      <c r="H73" s="144" t="s">
        <v>106</v>
      </c>
      <c r="I73" s="139" t="s">
        <v>26</v>
      </c>
    </row>
    <row r="74" spans="1:11" x14ac:dyDescent="0.2">
      <c r="A74" s="55"/>
      <c r="B74" s="179" t="s">
        <v>17</v>
      </c>
      <c r="C74" s="358" t="s">
        <v>22</v>
      </c>
      <c r="D74" s="359"/>
      <c r="E74" s="359"/>
      <c r="F74" s="74" t="s">
        <v>28</v>
      </c>
      <c r="G74" s="74" t="s">
        <v>29</v>
      </c>
      <c r="H74" s="74" t="s">
        <v>28</v>
      </c>
      <c r="I74" s="74" t="s">
        <v>29</v>
      </c>
    </row>
    <row r="75" spans="1:11" x14ac:dyDescent="0.2">
      <c r="A75" s="81"/>
      <c r="B75" s="68" t="s">
        <v>77</v>
      </c>
      <c r="C75" s="315" t="s">
        <v>115</v>
      </c>
      <c r="D75" s="315"/>
      <c r="E75" s="315"/>
      <c r="F75" s="79">
        <v>0</v>
      </c>
      <c r="G75" s="79">
        <v>0</v>
      </c>
      <c r="H75" s="79">
        <v>0</v>
      </c>
      <c r="I75" s="79">
        <v>0</v>
      </c>
    </row>
    <row r="76" spans="1:11" x14ac:dyDescent="0.2">
      <c r="A76" s="81"/>
      <c r="B76" s="68" t="s">
        <v>82</v>
      </c>
      <c r="C76" s="315" t="s">
        <v>116</v>
      </c>
      <c r="D76" s="315"/>
      <c r="E76" s="315"/>
      <c r="F76" s="79">
        <v>0</v>
      </c>
      <c r="G76" s="79">
        <v>0</v>
      </c>
      <c r="H76" s="79">
        <v>0</v>
      </c>
      <c r="I76" s="79">
        <v>0</v>
      </c>
    </row>
    <row r="77" spans="1:11" x14ac:dyDescent="0.2">
      <c r="A77" s="81"/>
      <c r="B77" s="68" t="s">
        <v>83</v>
      </c>
      <c r="C77" s="315" t="s">
        <v>117</v>
      </c>
      <c r="D77" s="315"/>
      <c r="E77" s="315"/>
      <c r="F77" s="95"/>
      <c r="G77" s="79">
        <v>0</v>
      </c>
      <c r="H77" s="95"/>
      <c r="I77" s="79">
        <v>0</v>
      </c>
    </row>
    <row r="78" spans="1:11" x14ac:dyDescent="0.2">
      <c r="A78" s="81"/>
      <c r="B78" s="68" t="s">
        <v>84</v>
      </c>
      <c r="C78" s="315" t="s">
        <v>118</v>
      </c>
      <c r="D78" s="315"/>
      <c r="E78" s="315"/>
      <c r="F78" s="79">
        <v>0</v>
      </c>
      <c r="G78" s="79">
        <v>0</v>
      </c>
      <c r="H78" s="79">
        <v>0</v>
      </c>
      <c r="I78" s="79">
        <v>0</v>
      </c>
    </row>
    <row r="79" spans="1:11" x14ac:dyDescent="0.2">
      <c r="A79" s="81"/>
      <c r="B79" s="68" t="s">
        <v>85</v>
      </c>
      <c r="C79" s="315" t="s">
        <v>119</v>
      </c>
      <c r="D79" s="315"/>
      <c r="E79" s="315"/>
      <c r="F79" s="79">
        <v>0</v>
      </c>
      <c r="G79" s="79">
        <v>0</v>
      </c>
      <c r="H79" s="79">
        <v>0</v>
      </c>
      <c r="I79" s="79">
        <v>0</v>
      </c>
    </row>
    <row r="80" spans="1:11" x14ac:dyDescent="0.2">
      <c r="A80" s="81"/>
      <c r="B80" s="68" t="s">
        <v>86</v>
      </c>
      <c r="C80" s="315" t="s">
        <v>120</v>
      </c>
      <c r="D80" s="315"/>
      <c r="E80" s="315"/>
      <c r="F80" s="79">
        <v>0</v>
      </c>
      <c r="G80" s="79">
        <v>0</v>
      </c>
      <c r="H80" s="79">
        <v>0</v>
      </c>
      <c r="I80" s="79">
        <v>0</v>
      </c>
    </row>
    <row r="81" spans="1:9" x14ac:dyDescent="0.2">
      <c r="A81" s="81"/>
      <c r="B81" s="97" t="s">
        <v>87</v>
      </c>
      <c r="C81" s="316" t="s">
        <v>121</v>
      </c>
      <c r="D81" s="316"/>
      <c r="E81" s="316"/>
      <c r="F81" s="95"/>
      <c r="G81" s="79">
        <v>0</v>
      </c>
      <c r="H81" s="95"/>
      <c r="I81" s="79">
        <v>0</v>
      </c>
    </row>
    <row r="82" spans="1:9" x14ac:dyDescent="0.2">
      <c r="A82" s="81"/>
      <c r="B82" s="306" t="s">
        <v>97</v>
      </c>
      <c r="C82" s="306"/>
      <c r="D82" s="306"/>
      <c r="E82" s="306"/>
      <c r="F82" s="79">
        <f>SUM(F75,F76,F77:F78,F79,F80:F81)</f>
        <v>0</v>
      </c>
      <c r="G82" s="79">
        <f>SUM(G75,G76,G77:G78,G79,G80:G81)</f>
        <v>0</v>
      </c>
      <c r="H82" s="79">
        <f>SUM(H75,H76,H77:H78,H79,H80:H81)</f>
        <v>0</v>
      </c>
      <c r="I82" s="79">
        <f>SUM(I75,I76,I77:I78,I79,I80:I81)</f>
        <v>0</v>
      </c>
    </row>
    <row r="85" spans="1:9" x14ac:dyDescent="0.2">
      <c r="A85" s="177" t="s">
        <v>96</v>
      </c>
      <c r="B85" s="319" t="s">
        <v>122</v>
      </c>
      <c r="C85" s="319"/>
      <c r="D85" s="319"/>
      <c r="E85" s="319"/>
      <c r="F85" s="319"/>
      <c r="G85" s="319"/>
      <c r="H85" s="319"/>
    </row>
    <row r="86" spans="1:9" x14ac:dyDescent="0.2">
      <c r="A86" s="177"/>
      <c r="B86" s="302"/>
      <c r="C86" s="303"/>
      <c r="D86" s="303"/>
      <c r="E86" s="304"/>
      <c r="F86" s="173" t="s">
        <v>243</v>
      </c>
      <c r="G86" s="173" t="s">
        <v>58</v>
      </c>
      <c r="H86" s="177"/>
    </row>
    <row r="87" spans="1:9" x14ac:dyDescent="0.2">
      <c r="A87" s="81"/>
      <c r="B87" s="301" t="s">
        <v>123</v>
      </c>
      <c r="C87" s="301"/>
      <c r="D87" s="301"/>
      <c r="E87" s="301"/>
      <c r="F87" s="93">
        <f>H20+H38+H53+H67+G82</f>
        <v>12275856.214253716</v>
      </c>
      <c r="G87" s="93">
        <f>K20+K38+K53+K67+I82</f>
        <v>10305530.303684553</v>
      </c>
      <c r="H87" s="98"/>
    </row>
    <row r="88" spans="1:9" x14ac:dyDescent="0.2">
      <c r="A88" s="81"/>
      <c r="B88" s="301" t="s">
        <v>124</v>
      </c>
      <c r="C88" s="301"/>
      <c r="D88" s="301"/>
      <c r="E88" s="301"/>
      <c r="F88" s="99">
        <v>0</v>
      </c>
      <c r="G88" s="93">
        <v>0</v>
      </c>
      <c r="H88" s="98"/>
    </row>
    <row r="91" spans="1:9" x14ac:dyDescent="0.2">
      <c r="A91" s="3" t="s">
        <v>22</v>
      </c>
      <c r="B91" s="6" t="s">
        <v>125</v>
      </c>
    </row>
    <row r="92" spans="1:9" x14ac:dyDescent="0.2">
      <c r="A92" s="22"/>
      <c r="B92" s="8" t="s">
        <v>76</v>
      </c>
    </row>
  </sheetData>
  <mergeCells count="83">
    <mergeCell ref="B88:E88"/>
    <mergeCell ref="C80:E80"/>
    <mergeCell ref="C81:E81"/>
    <mergeCell ref="B82:E82"/>
    <mergeCell ref="B85:H85"/>
    <mergeCell ref="B86:E86"/>
    <mergeCell ref="B87:E87"/>
    <mergeCell ref="C79:E79"/>
    <mergeCell ref="D65:E65"/>
    <mergeCell ref="C66:E66"/>
    <mergeCell ref="B67:E67"/>
    <mergeCell ref="B70:H70"/>
    <mergeCell ref="B72:B73"/>
    <mergeCell ref="C72:E73"/>
    <mergeCell ref="F72:G72"/>
    <mergeCell ref="H72:I72"/>
    <mergeCell ref="C74:E74"/>
    <mergeCell ref="C75:E75"/>
    <mergeCell ref="C76:E76"/>
    <mergeCell ref="C77:E77"/>
    <mergeCell ref="C78:E78"/>
    <mergeCell ref="I58:K58"/>
    <mergeCell ref="C60:E60"/>
    <mergeCell ref="C61:E61"/>
    <mergeCell ref="D62:E62"/>
    <mergeCell ref="D63:E63"/>
    <mergeCell ref="D64:E64"/>
    <mergeCell ref="C51:E51"/>
    <mergeCell ref="B53:E53"/>
    <mergeCell ref="B56:H56"/>
    <mergeCell ref="B57:H57"/>
    <mergeCell ref="B58:B59"/>
    <mergeCell ref="C58:E59"/>
    <mergeCell ref="F58:H58"/>
    <mergeCell ref="C50:E50"/>
    <mergeCell ref="B41:H41"/>
    <mergeCell ref="B42:H42"/>
    <mergeCell ref="B43:B44"/>
    <mergeCell ref="C43:E44"/>
    <mergeCell ref="F43:H43"/>
    <mergeCell ref="C45:E45"/>
    <mergeCell ref="C46:E46"/>
    <mergeCell ref="C47:E47"/>
    <mergeCell ref="C48:E48"/>
    <mergeCell ref="C49:E49"/>
    <mergeCell ref="I43:K43"/>
    <mergeCell ref="C33:E33"/>
    <mergeCell ref="C34:E34"/>
    <mergeCell ref="C35:E35"/>
    <mergeCell ref="C36:E36"/>
    <mergeCell ref="C37:E37"/>
    <mergeCell ref="B38:E38"/>
    <mergeCell ref="C32:E32"/>
    <mergeCell ref="B20:E20"/>
    <mergeCell ref="B23:H23"/>
    <mergeCell ref="B25:B26"/>
    <mergeCell ref="C25:E26"/>
    <mergeCell ref="F25:H25"/>
    <mergeCell ref="C27:E27"/>
    <mergeCell ref="C28:E28"/>
    <mergeCell ref="C29:E29"/>
    <mergeCell ref="C30:E30"/>
    <mergeCell ref="C31:E31"/>
    <mergeCell ref="I25:K25"/>
    <mergeCell ref="C14:E14"/>
    <mergeCell ref="C15:E15"/>
    <mergeCell ref="C16:E16"/>
    <mergeCell ref="C17:E17"/>
    <mergeCell ref="C18:E18"/>
    <mergeCell ref="C19:E19"/>
    <mergeCell ref="C13:E13"/>
    <mergeCell ref="J3:K3"/>
    <mergeCell ref="B4:H4"/>
    <mergeCell ref="B5:H5"/>
    <mergeCell ref="B6:B7"/>
    <mergeCell ref="C6:E7"/>
    <mergeCell ref="F6:H6"/>
    <mergeCell ref="I6:K6"/>
    <mergeCell ref="C8:E8"/>
    <mergeCell ref="C9:E9"/>
    <mergeCell ref="C10:E10"/>
    <mergeCell ref="C11:E11"/>
    <mergeCell ref="C12:E12"/>
  </mergeCells>
  <dataValidations disablePrompts="1" count="1">
    <dataValidation type="decimal" operator="greaterThanOrEqual" allowBlank="1" showInputMessage="1" showErrorMessage="1" promptTitle="Data Input" prompt="Enter value greater than or equal to zero" sqref="K31 H17:H18 H12 F10:G18 I35:J36 I29:J33 F47:G52 H31 F35:G36 F29:G33 K17:K18 K12 I10:J18 H49 H46 F19:K19 I47:J52 K49 K46">
      <formula1>0</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0"/>
  <sheetViews>
    <sheetView showGridLines="0" workbookViewId="0">
      <selection activeCell="L9" sqref="L9"/>
    </sheetView>
  </sheetViews>
  <sheetFormatPr defaultRowHeight="15" x14ac:dyDescent="0.25"/>
  <cols>
    <col min="1" max="1" width="2.42578125" bestFit="1" customWidth="1"/>
    <col min="2" max="2" width="4.85546875" customWidth="1"/>
    <col min="3" max="3" width="19.42578125" customWidth="1"/>
    <col min="4" max="7" width="15.28515625" customWidth="1"/>
  </cols>
  <sheetData>
    <row r="2" spans="1:9" x14ac:dyDescent="0.25">
      <c r="A2" s="112" t="s">
        <v>92</v>
      </c>
      <c r="B2" t="s">
        <v>131</v>
      </c>
    </row>
    <row r="3" spans="1:9" x14ac:dyDescent="0.25">
      <c r="G3" s="112" t="s">
        <v>239</v>
      </c>
    </row>
    <row r="4" spans="1:9" x14ac:dyDescent="0.25">
      <c r="B4" s="364" t="s">
        <v>18</v>
      </c>
      <c r="C4" s="364" t="s">
        <v>132</v>
      </c>
      <c r="D4" s="363" t="s">
        <v>23</v>
      </c>
      <c r="E4" s="363"/>
      <c r="F4" s="363"/>
      <c r="G4" s="363"/>
    </row>
    <row r="5" spans="1:9" x14ac:dyDescent="0.25">
      <c r="B5" s="364"/>
      <c r="C5" s="364"/>
      <c r="D5" s="364" t="s">
        <v>133</v>
      </c>
      <c r="E5" s="364"/>
      <c r="F5" s="364" t="s">
        <v>134</v>
      </c>
      <c r="G5" s="364"/>
    </row>
    <row r="6" spans="1:9" x14ac:dyDescent="0.25">
      <c r="B6" s="364"/>
      <c r="C6" s="364"/>
      <c r="D6" s="152" t="s">
        <v>27</v>
      </c>
      <c r="E6" s="152" t="s">
        <v>26</v>
      </c>
      <c r="F6" s="152" t="s">
        <v>27</v>
      </c>
      <c r="G6" s="152" t="s">
        <v>26</v>
      </c>
    </row>
    <row r="7" spans="1:9" s="151" customFormat="1" ht="14.45" customHeight="1" x14ac:dyDescent="0.25">
      <c r="B7" s="12" t="s">
        <v>17</v>
      </c>
      <c r="C7" s="12" t="s">
        <v>22</v>
      </c>
      <c r="D7" s="12" t="s">
        <v>28</v>
      </c>
      <c r="E7" s="12" t="s">
        <v>29</v>
      </c>
      <c r="F7" s="12" t="s">
        <v>30</v>
      </c>
      <c r="G7" s="12" t="s">
        <v>31</v>
      </c>
    </row>
    <row r="8" spans="1:9" x14ac:dyDescent="0.25">
      <c r="B8" s="4">
        <v>1</v>
      </c>
      <c r="C8" s="1" t="s">
        <v>135</v>
      </c>
      <c r="D8" s="1"/>
      <c r="E8" s="1"/>
      <c r="F8" s="1"/>
      <c r="G8" s="1"/>
    </row>
    <row r="9" spans="1:9" x14ac:dyDescent="0.25">
      <c r="B9" s="4"/>
      <c r="C9" s="1" t="s">
        <v>136</v>
      </c>
      <c r="D9" s="109">
        <v>0</v>
      </c>
      <c r="E9" s="109">
        <f>D9*12.5</f>
        <v>0</v>
      </c>
      <c r="F9" s="109">
        <f t="shared" ref="F9:G9" si="0">E9*12.5</f>
        <v>0</v>
      </c>
      <c r="G9" s="109">
        <f t="shared" si="0"/>
        <v>0</v>
      </c>
    </row>
    <row r="10" spans="1:9" x14ac:dyDescent="0.25">
      <c r="B10" s="4"/>
      <c r="C10" s="1" t="s">
        <v>137</v>
      </c>
      <c r="D10" s="109">
        <v>0</v>
      </c>
      <c r="E10" s="109">
        <f t="shared" ref="E10:E14" si="1">D10*12.5</f>
        <v>0</v>
      </c>
      <c r="F10" s="109">
        <f t="shared" ref="F10:G10" si="2">E10*12.5</f>
        <v>0</v>
      </c>
      <c r="G10" s="109">
        <f t="shared" si="2"/>
        <v>0</v>
      </c>
    </row>
    <row r="11" spans="1:9" x14ac:dyDescent="0.25">
      <c r="B11" s="4">
        <v>2</v>
      </c>
      <c r="C11" s="1" t="s">
        <v>138</v>
      </c>
      <c r="D11" s="109">
        <v>4786</v>
      </c>
      <c r="E11" s="109">
        <f t="shared" si="1"/>
        <v>59825</v>
      </c>
      <c r="F11" s="109">
        <v>0</v>
      </c>
      <c r="G11" s="109">
        <f t="shared" ref="G11" si="3">F11*12.5</f>
        <v>0</v>
      </c>
      <c r="I11" s="39"/>
    </row>
    <row r="12" spans="1:9" x14ac:dyDescent="0.25">
      <c r="B12" s="4">
        <v>3</v>
      </c>
      <c r="C12" s="1" t="s">
        <v>139</v>
      </c>
      <c r="D12" s="109">
        <v>0</v>
      </c>
      <c r="E12" s="109">
        <f t="shared" si="1"/>
        <v>0</v>
      </c>
      <c r="F12" s="109">
        <f t="shared" ref="F12:G12" si="4">E12*12.5</f>
        <v>0</v>
      </c>
      <c r="G12" s="109">
        <f t="shared" si="4"/>
        <v>0</v>
      </c>
    </row>
    <row r="13" spans="1:9" x14ac:dyDescent="0.25">
      <c r="B13" s="4">
        <v>4</v>
      </c>
      <c r="C13" s="1" t="s">
        <v>140</v>
      </c>
      <c r="D13" s="109">
        <v>0</v>
      </c>
      <c r="E13" s="109">
        <f t="shared" si="1"/>
        <v>0</v>
      </c>
      <c r="F13" s="109">
        <f t="shared" ref="F13:G13" si="5">E13*12.5</f>
        <v>0</v>
      </c>
      <c r="G13" s="109">
        <f t="shared" si="5"/>
        <v>0</v>
      </c>
    </row>
    <row r="14" spans="1:9" x14ac:dyDescent="0.25">
      <c r="B14" s="4">
        <v>5</v>
      </c>
      <c r="C14" s="1" t="s">
        <v>141</v>
      </c>
      <c r="D14" s="109">
        <v>0</v>
      </c>
      <c r="E14" s="109">
        <f t="shared" si="1"/>
        <v>0</v>
      </c>
      <c r="F14" s="109">
        <f t="shared" ref="F14:G14" si="6">E14*12.5</f>
        <v>0</v>
      </c>
      <c r="G14" s="109">
        <f t="shared" si="6"/>
        <v>0</v>
      </c>
    </row>
    <row r="15" spans="1:9" x14ac:dyDescent="0.25">
      <c r="B15" s="1"/>
      <c r="C15" s="1"/>
      <c r="D15" s="109"/>
      <c r="E15" s="109"/>
      <c r="F15" s="1"/>
      <c r="G15" s="1"/>
    </row>
    <row r="16" spans="1:9" s="52" customFormat="1" x14ac:dyDescent="0.25">
      <c r="B16" s="110"/>
      <c r="C16" s="110" t="s">
        <v>97</v>
      </c>
      <c r="D16" s="111">
        <f>SUM(D9:D15)</f>
        <v>4786</v>
      </c>
      <c r="E16" s="111">
        <f>SUM(E9:E15)</f>
        <v>59825</v>
      </c>
      <c r="F16" s="111">
        <f t="shared" ref="F16:G16" si="7">SUM(F9:F15)</f>
        <v>0</v>
      </c>
      <c r="G16" s="111">
        <f t="shared" si="7"/>
        <v>0</v>
      </c>
    </row>
    <row r="19" spans="1:2" x14ac:dyDescent="0.25">
      <c r="A19" s="112" t="s">
        <v>163</v>
      </c>
      <c r="B19" t="s">
        <v>242</v>
      </c>
    </row>
    <row r="20" spans="1:2" x14ac:dyDescent="0.25">
      <c r="B20" s="114" t="s">
        <v>76</v>
      </c>
    </row>
  </sheetData>
  <mergeCells count="5">
    <mergeCell ref="D4:G4"/>
    <mergeCell ref="D5:E5"/>
    <mergeCell ref="F5:G5"/>
    <mergeCell ref="B4:B6"/>
    <mergeCell ref="C4:C6"/>
  </mergeCells>
  <pageMargins left="0.7" right="0.7" top="0.75" bottom="0.75" header="0.3" footer="0.3"/>
  <ignoredErrors>
    <ignoredError sqref="B7:G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workbookViewId="0">
      <selection activeCell="D11" sqref="D11"/>
    </sheetView>
  </sheetViews>
  <sheetFormatPr defaultRowHeight="15" x14ac:dyDescent="0.25"/>
  <cols>
    <col min="1" max="1" width="2.42578125" bestFit="1" customWidth="1"/>
    <col min="2" max="2" width="4.85546875" customWidth="1"/>
    <col min="3" max="3" width="19.42578125" customWidth="1"/>
    <col min="4" max="4" width="11.85546875" bestFit="1" customWidth="1"/>
    <col min="5" max="5" width="9" bestFit="1" customWidth="1"/>
    <col min="6" max="6" width="11.85546875" bestFit="1" customWidth="1"/>
    <col min="7" max="7" width="8.5703125" bestFit="1" customWidth="1"/>
    <col min="8" max="8" width="11.85546875" bestFit="1" customWidth="1"/>
    <col min="9" max="9" width="7.5703125" bestFit="1" customWidth="1"/>
    <col min="10" max="10" width="11.85546875" bestFit="1" customWidth="1"/>
    <col min="11" max="11" width="8.5703125" bestFit="1" customWidth="1"/>
  </cols>
  <sheetData>
    <row r="2" spans="1:13" x14ac:dyDescent="0.25">
      <c r="A2" s="112" t="s">
        <v>92</v>
      </c>
      <c r="B2" t="s">
        <v>131</v>
      </c>
    </row>
    <row r="3" spans="1:13" x14ac:dyDescent="0.25">
      <c r="K3" s="112" t="s">
        <v>239</v>
      </c>
    </row>
    <row r="4" spans="1:13" x14ac:dyDescent="0.25">
      <c r="B4" s="365" t="s">
        <v>18</v>
      </c>
      <c r="C4" s="365" t="s">
        <v>132</v>
      </c>
      <c r="D4" s="366" t="s">
        <v>58</v>
      </c>
      <c r="E4" s="367"/>
      <c r="F4" s="367"/>
      <c r="G4" s="368"/>
      <c r="H4" s="366" t="s">
        <v>23</v>
      </c>
      <c r="I4" s="367"/>
      <c r="J4" s="367"/>
      <c r="K4" s="368"/>
    </row>
    <row r="5" spans="1:13" x14ac:dyDescent="0.25">
      <c r="B5" s="365"/>
      <c r="C5" s="365"/>
      <c r="D5" s="369" t="s">
        <v>133</v>
      </c>
      <c r="E5" s="370"/>
      <c r="F5" s="369" t="s">
        <v>134</v>
      </c>
      <c r="G5" s="370"/>
      <c r="H5" s="369" t="s">
        <v>133</v>
      </c>
      <c r="I5" s="370"/>
      <c r="J5" s="369" t="s">
        <v>134</v>
      </c>
      <c r="K5" s="370"/>
    </row>
    <row r="6" spans="1:13" x14ac:dyDescent="0.25">
      <c r="B6" s="365"/>
      <c r="C6" s="365"/>
      <c r="D6" s="150" t="s">
        <v>27</v>
      </c>
      <c r="E6" s="150" t="s">
        <v>26</v>
      </c>
      <c r="F6" s="150" t="s">
        <v>27</v>
      </c>
      <c r="G6" s="150" t="s">
        <v>26</v>
      </c>
      <c r="H6" s="150" t="s">
        <v>27</v>
      </c>
      <c r="I6" s="150" t="s">
        <v>26</v>
      </c>
      <c r="J6" s="150" t="s">
        <v>27</v>
      </c>
      <c r="K6" s="150" t="s">
        <v>26</v>
      </c>
    </row>
    <row r="7" spans="1:13" s="2" customFormat="1" x14ac:dyDescent="0.25">
      <c r="B7" s="7" t="s">
        <v>17</v>
      </c>
      <c r="C7" s="7" t="s">
        <v>22</v>
      </c>
      <c r="D7" s="7" t="s">
        <v>28</v>
      </c>
      <c r="E7" s="7" t="s">
        <v>29</v>
      </c>
      <c r="F7" s="7" t="s">
        <v>30</v>
      </c>
      <c r="G7" s="7" t="s">
        <v>31</v>
      </c>
      <c r="H7" s="7" t="s">
        <v>32</v>
      </c>
      <c r="I7" s="7" t="s">
        <v>33</v>
      </c>
      <c r="J7" s="7" t="s">
        <v>34</v>
      </c>
      <c r="K7" s="7" t="s">
        <v>35</v>
      </c>
    </row>
    <row r="8" spans="1:13" x14ac:dyDescent="0.25">
      <c r="B8" s="4">
        <v>1</v>
      </c>
      <c r="C8" s="1" t="s">
        <v>135</v>
      </c>
      <c r="D8" s="1"/>
      <c r="E8" s="1"/>
      <c r="F8" s="1"/>
      <c r="G8" s="1"/>
      <c r="H8" s="1"/>
      <c r="I8" s="1"/>
      <c r="J8" s="1"/>
      <c r="K8" s="1"/>
    </row>
    <row r="9" spans="1:13" x14ac:dyDescent="0.25">
      <c r="B9" s="4"/>
      <c r="C9" s="1" t="s">
        <v>136</v>
      </c>
      <c r="D9" s="109">
        <v>0</v>
      </c>
      <c r="E9" s="109">
        <f>D9*12.5</f>
        <v>0</v>
      </c>
      <c r="F9" s="109">
        <v>0</v>
      </c>
      <c r="G9" s="109">
        <f>F9*12.5</f>
        <v>0</v>
      </c>
      <c r="H9" s="109">
        <v>0</v>
      </c>
      <c r="I9" s="109">
        <f>H9*12.5</f>
        <v>0</v>
      </c>
      <c r="J9" s="109">
        <v>0</v>
      </c>
      <c r="K9" s="109">
        <f>J9*12.5</f>
        <v>0</v>
      </c>
    </row>
    <row r="10" spans="1:13" x14ac:dyDescent="0.25">
      <c r="B10" s="4"/>
      <c r="C10" s="1" t="s">
        <v>137</v>
      </c>
      <c r="D10" s="109">
        <v>0</v>
      </c>
      <c r="E10" s="109">
        <f t="shared" ref="E10:E14" si="0">D10*12.5</f>
        <v>0</v>
      </c>
      <c r="F10" s="109">
        <v>0</v>
      </c>
      <c r="G10" s="109">
        <f t="shared" ref="G10:G14" si="1">F10*12.5</f>
        <v>0</v>
      </c>
      <c r="H10" s="109">
        <v>0</v>
      </c>
      <c r="I10" s="109">
        <f t="shared" ref="I10:I14" si="2">H10*12.5</f>
        <v>0</v>
      </c>
      <c r="J10" s="109">
        <v>0</v>
      </c>
      <c r="K10" s="109">
        <f t="shared" ref="K10:K14" si="3">J10*12.5</f>
        <v>0</v>
      </c>
    </row>
    <row r="11" spans="1:13" x14ac:dyDescent="0.25">
      <c r="B11" s="4">
        <v>2</v>
      </c>
      <c r="C11" s="1" t="s">
        <v>138</v>
      </c>
      <c r="D11" s="108">
        <v>23792.245688671199</v>
      </c>
      <c r="E11" s="109">
        <f>D11*12.5</f>
        <v>297403.07110839</v>
      </c>
      <c r="F11" s="109">
        <v>0</v>
      </c>
      <c r="G11" s="109">
        <v>0</v>
      </c>
      <c r="H11" s="109">
        <v>4786</v>
      </c>
      <c r="I11" s="109">
        <f t="shared" si="2"/>
        <v>59825</v>
      </c>
      <c r="J11" s="109">
        <v>0</v>
      </c>
      <c r="K11" s="109">
        <v>0</v>
      </c>
      <c r="M11" s="39"/>
    </row>
    <row r="12" spans="1:13" x14ac:dyDescent="0.25">
      <c r="B12" s="4">
        <v>3</v>
      </c>
      <c r="C12" s="1" t="s">
        <v>139</v>
      </c>
      <c r="D12" s="109">
        <v>0</v>
      </c>
      <c r="E12" s="109">
        <f t="shared" si="0"/>
        <v>0</v>
      </c>
      <c r="F12" s="109"/>
      <c r="G12" s="109">
        <f t="shared" si="1"/>
        <v>0</v>
      </c>
      <c r="H12" s="109">
        <v>0</v>
      </c>
      <c r="I12" s="109">
        <f t="shared" si="2"/>
        <v>0</v>
      </c>
      <c r="J12" s="109"/>
      <c r="K12" s="109">
        <f t="shared" si="3"/>
        <v>0</v>
      </c>
    </row>
    <row r="13" spans="1:13" x14ac:dyDescent="0.25">
      <c r="B13" s="4">
        <v>4</v>
      </c>
      <c r="C13" s="1" t="s">
        <v>140</v>
      </c>
      <c r="D13" s="109">
        <v>0</v>
      </c>
      <c r="E13" s="109">
        <f t="shared" si="0"/>
        <v>0</v>
      </c>
      <c r="F13" s="109"/>
      <c r="G13" s="109">
        <f t="shared" si="1"/>
        <v>0</v>
      </c>
      <c r="H13" s="109">
        <v>0</v>
      </c>
      <c r="I13" s="109">
        <f t="shared" si="2"/>
        <v>0</v>
      </c>
      <c r="J13" s="109"/>
      <c r="K13" s="109">
        <f t="shared" si="3"/>
        <v>0</v>
      </c>
    </row>
    <row r="14" spans="1:13" x14ac:dyDescent="0.25">
      <c r="B14" s="4">
        <v>5</v>
      </c>
      <c r="C14" s="1" t="s">
        <v>141</v>
      </c>
      <c r="D14" s="109">
        <v>0</v>
      </c>
      <c r="E14" s="109">
        <f t="shared" si="0"/>
        <v>0</v>
      </c>
      <c r="F14" s="109">
        <v>0</v>
      </c>
      <c r="G14" s="109">
        <f t="shared" si="1"/>
        <v>0</v>
      </c>
      <c r="H14" s="109">
        <v>0</v>
      </c>
      <c r="I14" s="109">
        <f t="shared" si="2"/>
        <v>0</v>
      </c>
      <c r="J14" s="109">
        <v>0</v>
      </c>
      <c r="K14" s="109">
        <f t="shared" si="3"/>
        <v>0</v>
      </c>
    </row>
    <row r="15" spans="1:13" x14ac:dyDescent="0.25">
      <c r="B15" s="1"/>
      <c r="C15" s="1"/>
      <c r="D15" s="109"/>
      <c r="E15" s="109"/>
      <c r="F15" s="1"/>
      <c r="G15" s="1"/>
      <c r="H15" s="109"/>
      <c r="I15" s="109"/>
      <c r="J15" s="1"/>
      <c r="K15" s="1"/>
    </row>
    <row r="16" spans="1:13" s="52" customFormat="1" x14ac:dyDescent="0.25">
      <c r="B16" s="110"/>
      <c r="C16" s="110" t="s">
        <v>97</v>
      </c>
      <c r="D16" s="111">
        <f>SUM(D9:D15)</f>
        <v>23792.245688671199</v>
      </c>
      <c r="E16" s="111">
        <f>SUM(E9:E15)</f>
        <v>297403.07110839</v>
      </c>
      <c r="F16" s="111">
        <f t="shared" ref="F16" si="4">SUM(F9:F15)</f>
        <v>0</v>
      </c>
      <c r="G16" s="111">
        <f t="shared" ref="G16" si="5">SUM(G9:G15)</f>
        <v>0</v>
      </c>
      <c r="H16" s="111">
        <f>SUM(H9:H15)</f>
        <v>4786</v>
      </c>
      <c r="I16" s="111">
        <f>SUM(I9:I15)</f>
        <v>59825</v>
      </c>
      <c r="J16" s="111">
        <f t="shared" ref="J16:K16" si="6">SUM(J9:J15)</f>
        <v>0</v>
      </c>
      <c r="K16" s="111">
        <f t="shared" si="6"/>
        <v>0</v>
      </c>
    </row>
    <row r="19" spans="1:2" x14ac:dyDescent="0.25">
      <c r="A19" s="112" t="s">
        <v>163</v>
      </c>
      <c r="B19" t="s">
        <v>242</v>
      </c>
    </row>
    <row r="20" spans="1:2" x14ac:dyDescent="0.25">
      <c r="B20" s="114" t="s">
        <v>76</v>
      </c>
    </row>
  </sheetData>
  <mergeCells count="8">
    <mergeCell ref="B4:B6"/>
    <mergeCell ref="C4:C6"/>
    <mergeCell ref="H4:K4"/>
    <mergeCell ref="H5:I5"/>
    <mergeCell ref="J5:K5"/>
    <mergeCell ref="D4:G4"/>
    <mergeCell ref="D5:E5"/>
    <mergeCell ref="F5:G5"/>
  </mergeCells>
  <pageMargins left="0.7" right="0.7" top="0.75" bottom="0.75" header="0.3" footer="0.3"/>
  <ignoredErrors>
    <ignoredError sqref="B7:G7 H7:K7"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zoomScaleNormal="100" workbookViewId="0">
      <selection activeCell="D11" sqref="D11"/>
    </sheetView>
  </sheetViews>
  <sheetFormatPr defaultRowHeight="15" x14ac:dyDescent="0.25"/>
  <cols>
    <col min="1" max="1" width="2.42578125" bestFit="1" customWidth="1"/>
    <col min="2" max="2" width="4.85546875" customWidth="1"/>
    <col min="3" max="3" width="19.42578125" customWidth="1"/>
    <col min="4" max="4" width="12.5703125" bestFit="1" customWidth="1"/>
    <col min="5" max="5" width="9" bestFit="1" customWidth="1"/>
    <col min="6" max="6" width="12.5703125" bestFit="1" customWidth="1"/>
    <col min="7" max="7" width="8.5703125" bestFit="1" customWidth="1"/>
    <col min="8" max="8" width="12.5703125" bestFit="1" customWidth="1"/>
    <col min="9" max="9" width="9" bestFit="1" customWidth="1"/>
    <col min="10" max="10" width="11.85546875" bestFit="1" customWidth="1"/>
    <col min="11" max="11" width="8.5703125" bestFit="1" customWidth="1"/>
  </cols>
  <sheetData>
    <row r="2" spans="1:13" x14ac:dyDescent="0.25">
      <c r="A2" s="112" t="s">
        <v>92</v>
      </c>
      <c r="B2" t="s">
        <v>131</v>
      </c>
    </row>
    <row r="3" spans="1:13" x14ac:dyDescent="0.25">
      <c r="K3" s="112" t="s">
        <v>239</v>
      </c>
    </row>
    <row r="4" spans="1:13" x14ac:dyDescent="0.25">
      <c r="B4" s="365" t="s">
        <v>18</v>
      </c>
      <c r="C4" s="365" t="s">
        <v>132</v>
      </c>
      <c r="D4" s="366" t="s">
        <v>249</v>
      </c>
      <c r="E4" s="367"/>
      <c r="F4" s="367"/>
      <c r="G4" s="368"/>
      <c r="H4" s="366" t="s">
        <v>247</v>
      </c>
      <c r="I4" s="367"/>
      <c r="J4" s="367"/>
      <c r="K4" s="368"/>
    </row>
    <row r="5" spans="1:13" x14ac:dyDescent="0.25">
      <c r="B5" s="365"/>
      <c r="C5" s="365"/>
      <c r="D5" s="369" t="s">
        <v>133</v>
      </c>
      <c r="E5" s="370"/>
      <c r="F5" s="369" t="s">
        <v>134</v>
      </c>
      <c r="G5" s="370"/>
      <c r="H5" s="369" t="s">
        <v>133</v>
      </c>
      <c r="I5" s="370"/>
      <c r="J5" s="369" t="s">
        <v>134</v>
      </c>
      <c r="K5" s="370"/>
    </row>
    <row r="6" spans="1:13" x14ac:dyDescent="0.25">
      <c r="B6" s="365"/>
      <c r="C6" s="365"/>
      <c r="D6" s="259" t="s">
        <v>27</v>
      </c>
      <c r="E6" s="259" t="s">
        <v>26</v>
      </c>
      <c r="F6" s="259" t="s">
        <v>27</v>
      </c>
      <c r="G6" s="259" t="s">
        <v>26</v>
      </c>
      <c r="H6" s="259" t="s">
        <v>27</v>
      </c>
      <c r="I6" s="259" t="s">
        <v>26</v>
      </c>
      <c r="J6" s="259" t="s">
        <v>27</v>
      </c>
      <c r="K6" s="259" t="s">
        <v>26</v>
      </c>
    </row>
    <row r="7" spans="1:13" s="2" customFormat="1" x14ac:dyDescent="0.25">
      <c r="B7" s="7" t="s">
        <v>17</v>
      </c>
      <c r="C7" s="7" t="s">
        <v>22</v>
      </c>
      <c r="D7" s="7" t="s">
        <v>28</v>
      </c>
      <c r="E7" s="7" t="s">
        <v>29</v>
      </c>
      <c r="F7" s="7" t="s">
        <v>30</v>
      </c>
      <c r="G7" s="7" t="s">
        <v>31</v>
      </c>
      <c r="H7" s="7" t="s">
        <v>32</v>
      </c>
      <c r="I7" s="7" t="s">
        <v>33</v>
      </c>
      <c r="J7" s="7" t="s">
        <v>34</v>
      </c>
      <c r="K7" s="7" t="s">
        <v>35</v>
      </c>
    </row>
    <row r="8" spans="1:13" x14ac:dyDescent="0.25">
      <c r="B8" s="4">
        <v>1</v>
      </c>
      <c r="C8" s="1" t="s">
        <v>135</v>
      </c>
      <c r="D8" s="1"/>
      <c r="E8" s="1"/>
      <c r="F8" s="1"/>
      <c r="G8" s="1"/>
      <c r="H8" s="1"/>
      <c r="I8" s="1"/>
      <c r="J8" s="1"/>
      <c r="K8" s="1"/>
    </row>
    <row r="9" spans="1:13" x14ac:dyDescent="0.25">
      <c r="B9" s="4"/>
      <c r="C9" s="1" t="s">
        <v>136</v>
      </c>
      <c r="D9" s="109">
        <v>0</v>
      </c>
      <c r="E9" s="109">
        <f>D9*12.5</f>
        <v>0</v>
      </c>
      <c r="F9" s="109">
        <v>0</v>
      </c>
      <c r="G9" s="109">
        <f>F9*12.5</f>
        <v>0</v>
      </c>
      <c r="H9" s="109">
        <v>0</v>
      </c>
      <c r="I9" s="109">
        <f>H9*12.5</f>
        <v>0</v>
      </c>
      <c r="J9" s="109">
        <v>0</v>
      </c>
      <c r="K9" s="109">
        <f>J9*12.5</f>
        <v>0</v>
      </c>
    </row>
    <row r="10" spans="1:13" x14ac:dyDescent="0.25">
      <c r="B10" s="4"/>
      <c r="C10" s="1" t="s">
        <v>137</v>
      </c>
      <c r="D10" s="109">
        <v>0</v>
      </c>
      <c r="E10" s="109">
        <f t="shared" ref="E10:E14" si="0">D10*12.5</f>
        <v>0</v>
      </c>
      <c r="F10" s="109">
        <v>0</v>
      </c>
      <c r="G10" s="109">
        <f t="shared" ref="G10:G14" si="1">F10*12.5</f>
        <v>0</v>
      </c>
      <c r="H10" s="109">
        <v>0</v>
      </c>
      <c r="I10" s="109">
        <f t="shared" ref="I10" si="2">H10*12.5</f>
        <v>0</v>
      </c>
      <c r="J10" s="109">
        <v>0</v>
      </c>
      <c r="K10" s="109">
        <f t="shared" ref="K10" si="3">J10*12.5</f>
        <v>0</v>
      </c>
    </row>
    <row r="11" spans="1:13" x14ac:dyDescent="0.25">
      <c r="B11" s="4">
        <v>2</v>
      </c>
      <c r="C11" s="1" t="s">
        <v>138</v>
      </c>
      <c r="D11" s="109">
        <v>4626.46811308</v>
      </c>
      <c r="E11" s="109">
        <f>D11*12.5</f>
        <v>57830.8514135</v>
      </c>
      <c r="F11" s="109">
        <v>0</v>
      </c>
      <c r="G11" s="109">
        <v>0</v>
      </c>
      <c r="H11" s="109">
        <v>7001.0433926568021</v>
      </c>
      <c r="I11" s="109">
        <f>H11*12.5</f>
        <v>87513.042408210022</v>
      </c>
      <c r="J11" s="109">
        <v>0</v>
      </c>
      <c r="K11" s="109">
        <v>0</v>
      </c>
      <c r="M11" s="39"/>
    </row>
    <row r="12" spans="1:13" x14ac:dyDescent="0.25">
      <c r="B12" s="4">
        <v>3</v>
      </c>
      <c r="C12" s="1" t="s">
        <v>139</v>
      </c>
      <c r="D12" s="109">
        <v>0</v>
      </c>
      <c r="E12" s="109">
        <f t="shared" si="0"/>
        <v>0</v>
      </c>
      <c r="F12" s="109"/>
      <c r="G12" s="109">
        <f t="shared" si="1"/>
        <v>0</v>
      </c>
      <c r="H12" s="109">
        <v>0</v>
      </c>
      <c r="I12" s="109">
        <f t="shared" ref="I12:I14" si="4">H12*12.5</f>
        <v>0</v>
      </c>
      <c r="J12" s="109"/>
      <c r="K12" s="109">
        <f t="shared" ref="K12:K14" si="5">J12*12.5</f>
        <v>0</v>
      </c>
    </row>
    <row r="13" spans="1:13" x14ac:dyDescent="0.25">
      <c r="B13" s="4">
        <v>4</v>
      </c>
      <c r="C13" s="1" t="s">
        <v>140</v>
      </c>
      <c r="D13" s="109">
        <v>0</v>
      </c>
      <c r="E13" s="109">
        <f t="shared" si="0"/>
        <v>0</v>
      </c>
      <c r="F13" s="109"/>
      <c r="G13" s="109">
        <f t="shared" si="1"/>
        <v>0</v>
      </c>
      <c r="H13" s="109">
        <v>0</v>
      </c>
      <c r="I13" s="109">
        <f t="shared" si="4"/>
        <v>0</v>
      </c>
      <c r="J13" s="109"/>
      <c r="K13" s="109">
        <f t="shared" si="5"/>
        <v>0</v>
      </c>
    </row>
    <row r="14" spans="1:13" x14ac:dyDescent="0.25">
      <c r="B14" s="4">
        <v>5</v>
      </c>
      <c r="C14" s="1" t="s">
        <v>141</v>
      </c>
      <c r="D14" s="109">
        <v>0</v>
      </c>
      <c r="E14" s="109">
        <f t="shared" si="0"/>
        <v>0</v>
      </c>
      <c r="F14" s="109">
        <v>0</v>
      </c>
      <c r="G14" s="109">
        <f t="shared" si="1"/>
        <v>0</v>
      </c>
      <c r="H14" s="109">
        <v>0</v>
      </c>
      <c r="I14" s="109">
        <f t="shared" si="4"/>
        <v>0</v>
      </c>
      <c r="J14" s="109">
        <v>0</v>
      </c>
      <c r="K14" s="109">
        <f t="shared" si="5"/>
        <v>0</v>
      </c>
    </row>
    <row r="15" spans="1:13" x14ac:dyDescent="0.25">
      <c r="B15" s="1"/>
      <c r="C15" s="1"/>
      <c r="D15" s="109"/>
      <c r="E15" s="109"/>
      <c r="F15" s="1"/>
      <c r="G15" s="1"/>
      <c r="H15" s="109"/>
      <c r="I15" s="109"/>
      <c r="J15" s="1"/>
      <c r="K15" s="1"/>
    </row>
    <row r="16" spans="1:13" s="52" customFormat="1" x14ac:dyDescent="0.25">
      <c r="B16" s="110"/>
      <c r="C16" s="110" t="s">
        <v>97</v>
      </c>
      <c r="D16" s="111">
        <f>SUM(D9:D15)</f>
        <v>4626.46811308</v>
      </c>
      <c r="E16" s="111">
        <f>SUM(E9:E15)</f>
        <v>57830.8514135</v>
      </c>
      <c r="F16" s="111">
        <f t="shared" ref="F16:G16" si="6">SUM(F9:F15)</f>
        <v>0</v>
      </c>
      <c r="G16" s="111">
        <f t="shared" si="6"/>
        <v>0</v>
      </c>
      <c r="H16" s="111">
        <f>SUM(H9:H15)</f>
        <v>7001.0433926568021</v>
      </c>
      <c r="I16" s="111">
        <f>SUM(I9:I15)</f>
        <v>87513.042408210022</v>
      </c>
      <c r="J16" s="111">
        <f t="shared" ref="J16:K16" si="7">SUM(J9:J15)</f>
        <v>0</v>
      </c>
      <c r="K16" s="111">
        <f t="shared" si="7"/>
        <v>0</v>
      </c>
    </row>
    <row r="19" spans="1:2" x14ac:dyDescent="0.25">
      <c r="A19" s="112" t="s">
        <v>163</v>
      </c>
      <c r="B19" t="s">
        <v>242</v>
      </c>
    </row>
    <row r="20" spans="1:2" x14ac:dyDescent="0.25">
      <c r="B20" s="114" t="s">
        <v>76</v>
      </c>
    </row>
  </sheetData>
  <mergeCells count="8">
    <mergeCell ref="B4:B6"/>
    <mergeCell ref="C4:C6"/>
    <mergeCell ref="D4:G4"/>
    <mergeCell ref="H4:K4"/>
    <mergeCell ref="D5:E5"/>
    <mergeCell ref="F5:G5"/>
    <mergeCell ref="H5:I5"/>
    <mergeCell ref="J5:K5"/>
  </mergeCells>
  <pageMargins left="0.70866141732283472" right="0.70866141732283472" top="0.74803149606299213" bottom="0.74803149606299213" header="0.31496062992125984" footer="0.31496062992125984"/>
  <pageSetup paperSize="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zoomScaleNormal="100" workbookViewId="0">
      <selection activeCell="D11" sqref="D11"/>
    </sheetView>
  </sheetViews>
  <sheetFormatPr defaultRowHeight="15" x14ac:dyDescent="0.25"/>
  <cols>
    <col min="1" max="1" width="2.42578125" bestFit="1" customWidth="1"/>
    <col min="2" max="2" width="4.85546875" customWidth="1"/>
    <col min="3" max="3" width="19.42578125" customWidth="1"/>
    <col min="4" max="4" width="12.5703125" bestFit="1" customWidth="1"/>
    <col min="5" max="5" width="9" bestFit="1" customWidth="1"/>
    <col min="6" max="6" width="12.5703125" bestFit="1" customWidth="1"/>
    <col min="7" max="7" width="8.5703125" bestFit="1" customWidth="1"/>
    <col min="8" max="8" width="12.5703125" bestFit="1" customWidth="1"/>
    <col min="9" max="9" width="9" bestFit="1" customWidth="1"/>
    <col min="10" max="10" width="11.85546875" bestFit="1" customWidth="1"/>
    <col min="11" max="11" width="8.5703125" bestFit="1" customWidth="1"/>
  </cols>
  <sheetData>
    <row r="2" spans="1:13" x14ac:dyDescent="0.25">
      <c r="A2" s="112" t="s">
        <v>92</v>
      </c>
      <c r="B2" t="s">
        <v>131</v>
      </c>
    </row>
    <row r="3" spans="1:13" x14ac:dyDescent="0.25">
      <c r="K3" s="112" t="s">
        <v>239</v>
      </c>
    </row>
    <row r="4" spans="1:13" x14ac:dyDescent="0.25">
      <c r="B4" s="365" t="s">
        <v>18</v>
      </c>
      <c r="C4" s="365" t="s">
        <v>132</v>
      </c>
      <c r="D4" s="366" t="s">
        <v>247</v>
      </c>
      <c r="E4" s="367"/>
      <c r="F4" s="367"/>
      <c r="G4" s="368"/>
      <c r="H4" s="366" t="s">
        <v>245</v>
      </c>
      <c r="I4" s="367"/>
      <c r="J4" s="367"/>
      <c r="K4" s="368"/>
    </row>
    <row r="5" spans="1:13" x14ac:dyDescent="0.25">
      <c r="B5" s="365"/>
      <c r="C5" s="365"/>
      <c r="D5" s="369" t="s">
        <v>133</v>
      </c>
      <c r="E5" s="370"/>
      <c r="F5" s="369" t="s">
        <v>134</v>
      </c>
      <c r="G5" s="370"/>
      <c r="H5" s="369" t="s">
        <v>133</v>
      </c>
      <c r="I5" s="370"/>
      <c r="J5" s="369" t="s">
        <v>134</v>
      </c>
      <c r="K5" s="370"/>
    </row>
    <row r="6" spans="1:13" x14ac:dyDescent="0.25">
      <c r="B6" s="365"/>
      <c r="C6" s="365"/>
      <c r="D6" s="238" t="s">
        <v>27</v>
      </c>
      <c r="E6" s="238" t="s">
        <v>26</v>
      </c>
      <c r="F6" s="238" t="s">
        <v>27</v>
      </c>
      <c r="G6" s="238" t="s">
        <v>26</v>
      </c>
      <c r="H6" s="238" t="s">
        <v>27</v>
      </c>
      <c r="I6" s="238" t="s">
        <v>26</v>
      </c>
      <c r="J6" s="238" t="s">
        <v>27</v>
      </c>
      <c r="K6" s="238" t="s">
        <v>26</v>
      </c>
    </row>
    <row r="7" spans="1:13" s="2" customFormat="1" x14ac:dyDescent="0.25">
      <c r="B7" s="7" t="s">
        <v>17</v>
      </c>
      <c r="C7" s="7" t="s">
        <v>22</v>
      </c>
      <c r="D7" s="7" t="s">
        <v>28</v>
      </c>
      <c r="E7" s="7" t="s">
        <v>29</v>
      </c>
      <c r="F7" s="7" t="s">
        <v>30</v>
      </c>
      <c r="G7" s="7" t="s">
        <v>31</v>
      </c>
      <c r="H7" s="7" t="s">
        <v>32</v>
      </c>
      <c r="I7" s="7" t="s">
        <v>33</v>
      </c>
      <c r="J7" s="7" t="s">
        <v>34</v>
      </c>
      <c r="K7" s="7" t="s">
        <v>35</v>
      </c>
    </row>
    <row r="8" spans="1:13" x14ac:dyDescent="0.25">
      <c r="B8" s="4">
        <v>1</v>
      </c>
      <c r="C8" s="1" t="s">
        <v>135</v>
      </c>
      <c r="D8" s="1"/>
      <c r="E8" s="1"/>
      <c r="F8" s="1"/>
      <c r="G8" s="1"/>
      <c r="H8" s="1"/>
      <c r="I8" s="1"/>
      <c r="J8" s="1"/>
      <c r="K8" s="1"/>
    </row>
    <row r="9" spans="1:13" x14ac:dyDescent="0.25">
      <c r="B9" s="4"/>
      <c r="C9" s="1" t="s">
        <v>136</v>
      </c>
      <c r="D9" s="109">
        <v>0</v>
      </c>
      <c r="E9" s="109">
        <f>D9*12.5</f>
        <v>0</v>
      </c>
      <c r="F9" s="109">
        <v>0</v>
      </c>
      <c r="G9" s="109">
        <f>F9*12.5</f>
        <v>0</v>
      </c>
      <c r="H9" s="109">
        <v>0</v>
      </c>
      <c r="I9" s="109">
        <f>H9*12.5</f>
        <v>0</v>
      </c>
      <c r="J9" s="109">
        <v>0</v>
      </c>
      <c r="K9" s="109">
        <f>J9*12.5</f>
        <v>0</v>
      </c>
    </row>
    <row r="10" spans="1:13" x14ac:dyDescent="0.25">
      <c r="B10" s="4"/>
      <c r="C10" s="1" t="s">
        <v>137</v>
      </c>
      <c r="D10" s="109">
        <v>0</v>
      </c>
      <c r="E10" s="109">
        <f t="shared" ref="E10:E14" si="0">D10*12.5</f>
        <v>0</v>
      </c>
      <c r="F10" s="109">
        <v>0</v>
      </c>
      <c r="G10" s="109">
        <f t="shared" ref="G10:G14" si="1">F10*12.5</f>
        <v>0</v>
      </c>
      <c r="H10" s="109">
        <v>679</v>
      </c>
      <c r="I10" s="109">
        <f t="shared" ref="I10" si="2">H10*12.5</f>
        <v>8487.5</v>
      </c>
      <c r="J10" s="109">
        <v>0</v>
      </c>
      <c r="K10" s="109">
        <f t="shared" ref="K10" si="3">J10*12.5</f>
        <v>0</v>
      </c>
    </row>
    <row r="11" spans="1:13" x14ac:dyDescent="0.25">
      <c r="B11" s="4">
        <v>2</v>
      </c>
      <c r="C11" s="1" t="s">
        <v>138</v>
      </c>
      <c r="D11" s="109">
        <v>7001.0433926568021</v>
      </c>
      <c r="E11" s="109">
        <f>D11*12.5</f>
        <v>87513.042408210022</v>
      </c>
      <c r="F11" s="109">
        <v>0</v>
      </c>
      <c r="G11" s="109">
        <v>0</v>
      </c>
      <c r="H11" s="109">
        <v>10832.408043100799</v>
      </c>
      <c r="I11" s="109">
        <f>H11*12.5</f>
        <v>135405.10053875999</v>
      </c>
      <c r="J11" s="109">
        <v>0</v>
      </c>
      <c r="K11" s="109">
        <v>0</v>
      </c>
      <c r="M11" s="39"/>
    </row>
    <row r="12" spans="1:13" x14ac:dyDescent="0.25">
      <c r="B12" s="4">
        <v>3</v>
      </c>
      <c r="C12" s="1" t="s">
        <v>139</v>
      </c>
      <c r="D12" s="109">
        <v>0</v>
      </c>
      <c r="E12" s="109">
        <f t="shared" si="0"/>
        <v>0</v>
      </c>
      <c r="F12" s="109"/>
      <c r="G12" s="109">
        <f t="shared" si="1"/>
        <v>0</v>
      </c>
      <c r="H12" s="109">
        <v>0</v>
      </c>
      <c r="I12" s="109">
        <f t="shared" ref="I12:I14" si="4">H12*12.5</f>
        <v>0</v>
      </c>
      <c r="J12" s="109"/>
      <c r="K12" s="109">
        <f t="shared" ref="K12:K14" si="5">J12*12.5</f>
        <v>0</v>
      </c>
    </row>
    <row r="13" spans="1:13" x14ac:dyDescent="0.25">
      <c r="B13" s="4">
        <v>4</v>
      </c>
      <c r="C13" s="1" t="s">
        <v>140</v>
      </c>
      <c r="D13" s="109">
        <v>0</v>
      </c>
      <c r="E13" s="109">
        <f t="shared" si="0"/>
        <v>0</v>
      </c>
      <c r="F13" s="109"/>
      <c r="G13" s="109">
        <f t="shared" si="1"/>
        <v>0</v>
      </c>
      <c r="H13" s="109">
        <v>0</v>
      </c>
      <c r="I13" s="109">
        <f t="shared" si="4"/>
        <v>0</v>
      </c>
      <c r="J13" s="109"/>
      <c r="K13" s="109">
        <f t="shared" si="5"/>
        <v>0</v>
      </c>
    </row>
    <row r="14" spans="1:13" x14ac:dyDescent="0.25">
      <c r="B14" s="4">
        <v>5</v>
      </c>
      <c r="C14" s="1" t="s">
        <v>141</v>
      </c>
      <c r="D14" s="109">
        <v>0</v>
      </c>
      <c r="E14" s="109">
        <f t="shared" si="0"/>
        <v>0</v>
      </c>
      <c r="F14" s="109">
        <v>0</v>
      </c>
      <c r="G14" s="109">
        <f t="shared" si="1"/>
        <v>0</v>
      </c>
      <c r="H14" s="109">
        <v>0</v>
      </c>
      <c r="I14" s="109">
        <f t="shared" si="4"/>
        <v>0</v>
      </c>
      <c r="J14" s="109">
        <v>0</v>
      </c>
      <c r="K14" s="109">
        <f t="shared" si="5"/>
        <v>0</v>
      </c>
    </row>
    <row r="15" spans="1:13" x14ac:dyDescent="0.25">
      <c r="B15" s="1"/>
      <c r="C15" s="1"/>
      <c r="D15" s="109"/>
      <c r="E15" s="109"/>
      <c r="F15" s="1"/>
      <c r="G15" s="1"/>
      <c r="H15" s="109"/>
      <c r="I15" s="109"/>
      <c r="J15" s="1"/>
      <c r="K15" s="1"/>
    </row>
    <row r="16" spans="1:13" s="52" customFormat="1" x14ac:dyDescent="0.25">
      <c r="B16" s="110"/>
      <c r="C16" s="110" t="s">
        <v>97</v>
      </c>
      <c r="D16" s="111">
        <f>SUM(D9:D15)</f>
        <v>7001.0433926568021</v>
      </c>
      <c r="E16" s="111">
        <f>SUM(E9:E15)</f>
        <v>87513.042408210022</v>
      </c>
      <c r="F16" s="111">
        <f t="shared" ref="F16:G16" si="6">SUM(F9:F15)</f>
        <v>0</v>
      </c>
      <c r="G16" s="111">
        <f t="shared" si="6"/>
        <v>0</v>
      </c>
      <c r="H16" s="111">
        <f>SUM(H9:H15)</f>
        <v>11511.408043100799</v>
      </c>
      <c r="I16" s="111">
        <f>SUM(I9:I15)</f>
        <v>143892.60053875999</v>
      </c>
      <c r="J16" s="111">
        <f t="shared" ref="J16:K16" si="7">SUM(J9:J15)</f>
        <v>0</v>
      </c>
      <c r="K16" s="111">
        <f t="shared" si="7"/>
        <v>0</v>
      </c>
    </row>
    <row r="19" spans="1:2" x14ac:dyDescent="0.25">
      <c r="A19" s="112" t="s">
        <v>163</v>
      </c>
      <c r="B19" t="s">
        <v>242</v>
      </c>
    </row>
    <row r="20" spans="1:2" x14ac:dyDescent="0.25">
      <c r="B20" s="114" t="s">
        <v>76</v>
      </c>
    </row>
  </sheetData>
  <mergeCells count="8">
    <mergeCell ref="B4:B6"/>
    <mergeCell ref="C4:C6"/>
    <mergeCell ref="D4:G4"/>
    <mergeCell ref="H4:K4"/>
    <mergeCell ref="D5:E5"/>
    <mergeCell ref="F5:G5"/>
    <mergeCell ref="H5:I5"/>
    <mergeCell ref="J5:K5"/>
  </mergeCells>
  <pageMargins left="0.70866141732283472" right="0.70866141732283472" top="0.74803149606299213" bottom="0.74803149606299213" header="0.31496062992125984" footer="0.31496062992125984"/>
  <pageSetup paperSize="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workbookViewId="0">
      <selection activeCell="H10" sqref="H10:H11"/>
    </sheetView>
  </sheetViews>
  <sheetFormatPr defaultRowHeight="15" x14ac:dyDescent="0.25"/>
  <cols>
    <col min="1" max="1" width="2.42578125" bestFit="1" customWidth="1"/>
    <col min="2" max="2" width="4.85546875" customWidth="1"/>
    <col min="3" max="3" width="19.42578125" customWidth="1"/>
    <col min="4" max="4" width="12.5703125" bestFit="1" customWidth="1"/>
    <col min="5" max="5" width="9" bestFit="1" customWidth="1"/>
    <col min="6" max="6" width="12.5703125" bestFit="1" customWidth="1"/>
    <col min="7" max="7" width="8.5703125" bestFit="1" customWidth="1"/>
    <col min="8" max="8" width="12.5703125" bestFit="1" customWidth="1"/>
    <col min="9" max="9" width="9" bestFit="1" customWidth="1"/>
    <col min="10" max="10" width="11.85546875" bestFit="1" customWidth="1"/>
    <col min="11" max="11" width="8.5703125" bestFit="1" customWidth="1"/>
  </cols>
  <sheetData>
    <row r="2" spans="1:13" x14ac:dyDescent="0.25">
      <c r="A2" s="112" t="s">
        <v>92</v>
      </c>
      <c r="B2" t="s">
        <v>131</v>
      </c>
    </row>
    <row r="3" spans="1:13" x14ac:dyDescent="0.25">
      <c r="K3" s="112" t="s">
        <v>239</v>
      </c>
    </row>
    <row r="4" spans="1:13" x14ac:dyDescent="0.25">
      <c r="B4" s="365" t="s">
        <v>18</v>
      </c>
      <c r="C4" s="365" t="s">
        <v>132</v>
      </c>
      <c r="D4" s="366" t="s">
        <v>245</v>
      </c>
      <c r="E4" s="367"/>
      <c r="F4" s="367"/>
      <c r="G4" s="368"/>
      <c r="H4" s="366" t="s">
        <v>245</v>
      </c>
      <c r="I4" s="367"/>
      <c r="J4" s="367"/>
      <c r="K4" s="368"/>
    </row>
    <row r="5" spans="1:13" x14ac:dyDescent="0.25">
      <c r="B5" s="365"/>
      <c r="C5" s="365"/>
      <c r="D5" s="369" t="s">
        <v>133</v>
      </c>
      <c r="E5" s="370"/>
      <c r="F5" s="369" t="s">
        <v>134</v>
      </c>
      <c r="G5" s="370"/>
      <c r="H5" s="369" t="s">
        <v>133</v>
      </c>
      <c r="I5" s="370"/>
      <c r="J5" s="369" t="s">
        <v>134</v>
      </c>
      <c r="K5" s="370"/>
    </row>
    <row r="6" spans="1:13" x14ac:dyDescent="0.25">
      <c r="B6" s="365"/>
      <c r="C6" s="365"/>
      <c r="D6" s="220" t="s">
        <v>27</v>
      </c>
      <c r="E6" s="220" t="s">
        <v>26</v>
      </c>
      <c r="F6" s="220" t="s">
        <v>27</v>
      </c>
      <c r="G6" s="220" t="s">
        <v>26</v>
      </c>
      <c r="H6" s="220" t="s">
        <v>27</v>
      </c>
      <c r="I6" s="220" t="s">
        <v>26</v>
      </c>
      <c r="J6" s="220" t="s">
        <v>27</v>
      </c>
      <c r="K6" s="220" t="s">
        <v>26</v>
      </c>
    </row>
    <row r="7" spans="1:13" s="2" customFormat="1" x14ac:dyDescent="0.25">
      <c r="B7" s="7" t="s">
        <v>17</v>
      </c>
      <c r="C7" s="7" t="s">
        <v>22</v>
      </c>
      <c r="D7" s="7" t="s">
        <v>28</v>
      </c>
      <c r="E7" s="7" t="s">
        <v>29</v>
      </c>
      <c r="F7" s="7" t="s">
        <v>30</v>
      </c>
      <c r="G7" s="7" t="s">
        <v>31</v>
      </c>
      <c r="H7" s="7" t="s">
        <v>32</v>
      </c>
      <c r="I7" s="7" t="s">
        <v>33</v>
      </c>
      <c r="J7" s="7" t="s">
        <v>34</v>
      </c>
      <c r="K7" s="7" t="s">
        <v>35</v>
      </c>
    </row>
    <row r="8" spans="1:13" x14ac:dyDescent="0.25">
      <c r="B8" s="4">
        <v>1</v>
      </c>
      <c r="C8" s="1" t="s">
        <v>135</v>
      </c>
      <c r="D8" s="1"/>
      <c r="E8" s="1"/>
      <c r="F8" s="1"/>
      <c r="G8" s="1"/>
      <c r="H8" s="1"/>
      <c r="I8" s="1"/>
      <c r="J8" s="1"/>
      <c r="K8" s="1"/>
    </row>
    <row r="9" spans="1:13" x14ac:dyDescent="0.25">
      <c r="B9" s="4"/>
      <c r="C9" s="1" t="s">
        <v>136</v>
      </c>
      <c r="D9" s="109">
        <v>0</v>
      </c>
      <c r="E9" s="109">
        <f>D9*12.5</f>
        <v>0</v>
      </c>
      <c r="F9" s="109">
        <v>0</v>
      </c>
      <c r="G9" s="109">
        <f>F9*12.5</f>
        <v>0</v>
      </c>
      <c r="H9" s="109">
        <v>0</v>
      </c>
      <c r="I9" s="109">
        <f>H9*12.5</f>
        <v>0</v>
      </c>
      <c r="J9" s="109">
        <v>0</v>
      </c>
      <c r="K9" s="109">
        <f>J9*12.5</f>
        <v>0</v>
      </c>
    </row>
    <row r="10" spans="1:13" x14ac:dyDescent="0.25">
      <c r="B10" s="4"/>
      <c r="C10" s="1" t="s">
        <v>137</v>
      </c>
      <c r="D10" s="109">
        <v>679</v>
      </c>
      <c r="E10" s="109">
        <f t="shared" ref="E10:E14" si="0">D10*12.5</f>
        <v>8487.5</v>
      </c>
      <c r="F10" s="109">
        <v>0</v>
      </c>
      <c r="G10" s="109">
        <f t="shared" ref="G10:G14" si="1">F10*12.5</f>
        <v>0</v>
      </c>
      <c r="H10" s="109">
        <v>977.03909999999996</v>
      </c>
      <c r="I10" s="109">
        <f t="shared" ref="I10" si="2">H10*12.5</f>
        <v>12212.98875</v>
      </c>
      <c r="J10" s="109">
        <v>0</v>
      </c>
      <c r="K10" s="109">
        <f t="shared" ref="K10" si="3">J10*12.5</f>
        <v>0</v>
      </c>
    </row>
    <row r="11" spans="1:13" x14ac:dyDescent="0.25">
      <c r="B11" s="4">
        <v>2</v>
      </c>
      <c r="C11" s="1" t="s">
        <v>138</v>
      </c>
      <c r="D11" s="109">
        <v>10832.408043100799</v>
      </c>
      <c r="E11" s="109">
        <f>D11*12.5</f>
        <v>135405.10053875999</v>
      </c>
      <c r="F11" s="109">
        <v>0</v>
      </c>
      <c r="G11" s="109">
        <v>0</v>
      </c>
      <c r="H11" s="108">
        <v>11865.3417550864</v>
      </c>
      <c r="I11" s="109">
        <f>H11*12.5</f>
        <v>148316.77193858</v>
      </c>
      <c r="J11" s="109">
        <v>0</v>
      </c>
      <c r="K11" s="109">
        <v>0</v>
      </c>
      <c r="M11" s="39"/>
    </row>
    <row r="12" spans="1:13" x14ac:dyDescent="0.25">
      <c r="B12" s="4">
        <v>3</v>
      </c>
      <c r="C12" s="1" t="s">
        <v>139</v>
      </c>
      <c r="D12" s="109">
        <v>0</v>
      </c>
      <c r="E12" s="109">
        <f t="shared" si="0"/>
        <v>0</v>
      </c>
      <c r="F12" s="109"/>
      <c r="G12" s="109">
        <f t="shared" si="1"/>
        <v>0</v>
      </c>
      <c r="H12" s="109">
        <v>0</v>
      </c>
      <c r="I12" s="109">
        <f t="shared" ref="I12:I14" si="4">H12*12.5</f>
        <v>0</v>
      </c>
      <c r="J12" s="109"/>
      <c r="K12" s="109">
        <f t="shared" ref="K12:K14" si="5">J12*12.5</f>
        <v>0</v>
      </c>
    </row>
    <row r="13" spans="1:13" x14ac:dyDescent="0.25">
      <c r="B13" s="4">
        <v>4</v>
      </c>
      <c r="C13" s="1" t="s">
        <v>140</v>
      </c>
      <c r="D13" s="109">
        <v>0</v>
      </c>
      <c r="E13" s="109">
        <f t="shared" si="0"/>
        <v>0</v>
      </c>
      <c r="F13" s="109"/>
      <c r="G13" s="109">
        <f t="shared" si="1"/>
        <v>0</v>
      </c>
      <c r="H13" s="109">
        <v>0</v>
      </c>
      <c r="I13" s="109">
        <f t="shared" si="4"/>
        <v>0</v>
      </c>
      <c r="J13" s="109"/>
      <c r="K13" s="109">
        <f t="shared" si="5"/>
        <v>0</v>
      </c>
    </row>
    <row r="14" spans="1:13" x14ac:dyDescent="0.25">
      <c r="B14" s="4">
        <v>5</v>
      </c>
      <c r="C14" s="1" t="s">
        <v>141</v>
      </c>
      <c r="D14" s="109">
        <v>0</v>
      </c>
      <c r="E14" s="109">
        <f t="shared" si="0"/>
        <v>0</v>
      </c>
      <c r="F14" s="109">
        <v>0</v>
      </c>
      <c r="G14" s="109">
        <f t="shared" si="1"/>
        <v>0</v>
      </c>
      <c r="H14" s="109">
        <v>0</v>
      </c>
      <c r="I14" s="109">
        <f t="shared" si="4"/>
        <v>0</v>
      </c>
      <c r="J14" s="109">
        <v>0</v>
      </c>
      <c r="K14" s="109">
        <f t="shared" si="5"/>
        <v>0</v>
      </c>
    </row>
    <row r="15" spans="1:13" x14ac:dyDescent="0.25">
      <c r="B15" s="1"/>
      <c r="C15" s="1"/>
      <c r="D15" s="109"/>
      <c r="E15" s="109"/>
      <c r="F15" s="1"/>
      <c r="G15" s="1"/>
      <c r="H15" s="109"/>
      <c r="I15" s="109"/>
      <c r="J15" s="1"/>
      <c r="K15" s="1"/>
    </row>
    <row r="16" spans="1:13" s="52" customFormat="1" x14ac:dyDescent="0.25">
      <c r="B16" s="110"/>
      <c r="C16" s="110" t="s">
        <v>97</v>
      </c>
      <c r="D16" s="111">
        <f>SUM(D9:D15)</f>
        <v>11511.408043100799</v>
      </c>
      <c r="E16" s="111">
        <f>SUM(E9:E15)</f>
        <v>143892.60053875999</v>
      </c>
      <c r="F16" s="111">
        <f t="shared" ref="F16:G16" si="6">SUM(F9:F15)</f>
        <v>0</v>
      </c>
      <c r="G16" s="111">
        <f t="shared" si="6"/>
        <v>0</v>
      </c>
      <c r="H16" s="111">
        <f>SUM(H9:H15)</f>
        <v>12842.3808550864</v>
      </c>
      <c r="I16" s="111">
        <f>SUM(I9:I15)</f>
        <v>160529.76068857999</v>
      </c>
      <c r="J16" s="111">
        <f t="shared" ref="J16:K16" si="7">SUM(J9:J15)</f>
        <v>0</v>
      </c>
      <c r="K16" s="111">
        <f t="shared" si="7"/>
        <v>0</v>
      </c>
    </row>
    <row r="19" spans="1:2" x14ac:dyDescent="0.25">
      <c r="A19" s="112" t="s">
        <v>163</v>
      </c>
      <c r="B19" t="s">
        <v>242</v>
      </c>
    </row>
    <row r="20" spans="1:2" x14ac:dyDescent="0.25">
      <c r="B20" s="114" t="s">
        <v>76</v>
      </c>
    </row>
  </sheetData>
  <mergeCells count="8">
    <mergeCell ref="B4:B6"/>
    <mergeCell ref="C4:C6"/>
    <mergeCell ref="D4:G4"/>
    <mergeCell ref="H4:K4"/>
    <mergeCell ref="D5:E5"/>
    <mergeCell ref="F5:G5"/>
    <mergeCell ref="H5:I5"/>
    <mergeCell ref="J5:K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showGridLines="0" workbookViewId="0">
      <selection activeCell="E24" sqref="E24"/>
    </sheetView>
  </sheetViews>
  <sheetFormatPr defaultRowHeight="15" x14ac:dyDescent="0.25"/>
  <cols>
    <col min="1" max="1" width="2.42578125" bestFit="1" customWidth="1"/>
    <col min="2" max="2" width="4.85546875" customWidth="1"/>
    <col min="3" max="3" width="19.42578125" customWidth="1"/>
    <col min="4" max="4" width="12.5703125" bestFit="1" customWidth="1"/>
    <col min="5" max="5" width="9" bestFit="1" customWidth="1"/>
    <col min="6" max="6" width="12.5703125" bestFit="1" customWidth="1"/>
    <col min="7" max="7" width="8.5703125" bestFit="1" customWidth="1"/>
    <col min="8" max="8" width="12.5703125" bestFit="1" customWidth="1"/>
    <col min="9" max="9" width="9" bestFit="1" customWidth="1"/>
    <col min="10" max="10" width="11.85546875" bestFit="1" customWidth="1"/>
    <col min="11" max="11" width="8.5703125" bestFit="1" customWidth="1"/>
  </cols>
  <sheetData>
    <row r="2" spans="1:13" x14ac:dyDescent="0.25">
      <c r="A2" s="112" t="s">
        <v>92</v>
      </c>
      <c r="B2" t="s">
        <v>131</v>
      </c>
    </row>
    <row r="3" spans="1:13" x14ac:dyDescent="0.25">
      <c r="K3" s="112" t="s">
        <v>239</v>
      </c>
    </row>
    <row r="4" spans="1:13" x14ac:dyDescent="0.25">
      <c r="B4" s="365" t="s">
        <v>18</v>
      </c>
      <c r="C4" s="365" t="s">
        <v>132</v>
      </c>
      <c r="D4" s="366" t="s">
        <v>243</v>
      </c>
      <c r="E4" s="367"/>
      <c r="F4" s="367"/>
      <c r="G4" s="368"/>
      <c r="H4" s="366" t="s">
        <v>58</v>
      </c>
      <c r="I4" s="367"/>
      <c r="J4" s="367"/>
      <c r="K4" s="368"/>
    </row>
    <row r="5" spans="1:13" x14ac:dyDescent="0.25">
      <c r="B5" s="365"/>
      <c r="C5" s="365"/>
      <c r="D5" s="369" t="s">
        <v>133</v>
      </c>
      <c r="E5" s="370"/>
      <c r="F5" s="369" t="s">
        <v>134</v>
      </c>
      <c r="G5" s="370"/>
      <c r="H5" s="369" t="s">
        <v>133</v>
      </c>
      <c r="I5" s="370"/>
      <c r="J5" s="369" t="s">
        <v>134</v>
      </c>
      <c r="K5" s="370"/>
    </row>
    <row r="6" spans="1:13" x14ac:dyDescent="0.25">
      <c r="B6" s="365"/>
      <c r="C6" s="365"/>
      <c r="D6" s="180" t="s">
        <v>27</v>
      </c>
      <c r="E6" s="180" t="s">
        <v>26</v>
      </c>
      <c r="F6" s="180" t="s">
        <v>27</v>
      </c>
      <c r="G6" s="180" t="s">
        <v>26</v>
      </c>
      <c r="H6" s="180" t="s">
        <v>27</v>
      </c>
      <c r="I6" s="180" t="s">
        <v>26</v>
      </c>
      <c r="J6" s="180" t="s">
        <v>27</v>
      </c>
      <c r="K6" s="180" t="s">
        <v>26</v>
      </c>
    </row>
    <row r="7" spans="1:13" s="2" customFormat="1" x14ac:dyDescent="0.25">
      <c r="B7" s="7" t="s">
        <v>17</v>
      </c>
      <c r="C7" s="7" t="s">
        <v>22</v>
      </c>
      <c r="D7" s="7" t="s">
        <v>28</v>
      </c>
      <c r="E7" s="7" t="s">
        <v>29</v>
      </c>
      <c r="F7" s="7" t="s">
        <v>30</v>
      </c>
      <c r="G7" s="7" t="s">
        <v>31</v>
      </c>
      <c r="H7" s="7" t="s">
        <v>32</v>
      </c>
      <c r="I7" s="7" t="s">
        <v>33</v>
      </c>
      <c r="J7" s="7" t="s">
        <v>34</v>
      </c>
      <c r="K7" s="7" t="s">
        <v>35</v>
      </c>
    </row>
    <row r="8" spans="1:13" x14ac:dyDescent="0.25">
      <c r="B8" s="4">
        <v>1</v>
      </c>
      <c r="C8" s="1" t="s">
        <v>135</v>
      </c>
      <c r="D8" s="1"/>
      <c r="E8" s="1"/>
      <c r="F8" s="1"/>
      <c r="G8" s="1"/>
      <c r="H8" s="1"/>
      <c r="I8" s="1"/>
      <c r="J8" s="1"/>
      <c r="K8" s="1"/>
    </row>
    <row r="9" spans="1:13" x14ac:dyDescent="0.25">
      <c r="B9" s="4"/>
      <c r="C9" s="1" t="s">
        <v>136</v>
      </c>
      <c r="D9" s="109">
        <v>0</v>
      </c>
      <c r="E9" s="109">
        <f>D9*12.5</f>
        <v>0</v>
      </c>
      <c r="F9" s="109">
        <v>0</v>
      </c>
      <c r="G9" s="109">
        <f>F9*12.5</f>
        <v>0</v>
      </c>
      <c r="H9" s="109">
        <v>0</v>
      </c>
      <c r="I9" s="109">
        <f>H9*12.5</f>
        <v>0</v>
      </c>
      <c r="J9" s="109">
        <v>0</v>
      </c>
      <c r="K9" s="109">
        <f>J9*12.5</f>
        <v>0</v>
      </c>
    </row>
    <row r="10" spans="1:13" x14ac:dyDescent="0.25">
      <c r="B10" s="4"/>
      <c r="C10" s="1" t="s">
        <v>137</v>
      </c>
      <c r="D10" s="109">
        <v>977.03909999999996</v>
      </c>
      <c r="E10" s="109">
        <f t="shared" ref="E10:E14" si="0">D10*12.5</f>
        <v>12212.98875</v>
      </c>
      <c r="F10" s="109">
        <v>0</v>
      </c>
      <c r="G10" s="109">
        <f t="shared" ref="G10:G14" si="1">F10*12.5</f>
        <v>0</v>
      </c>
      <c r="H10" s="109">
        <v>0</v>
      </c>
      <c r="I10" s="109">
        <f t="shared" ref="I10" si="2">H10*12.5</f>
        <v>0</v>
      </c>
      <c r="J10" s="109">
        <v>0</v>
      </c>
      <c r="K10" s="109">
        <f t="shared" ref="K10" si="3">J10*12.5</f>
        <v>0</v>
      </c>
    </row>
    <row r="11" spans="1:13" x14ac:dyDescent="0.25">
      <c r="B11" s="4">
        <v>2</v>
      </c>
      <c r="C11" s="1" t="s">
        <v>138</v>
      </c>
      <c r="D11" s="108">
        <v>11865.3417550864</v>
      </c>
      <c r="E11" s="109">
        <f>D11*12.5</f>
        <v>148316.77193858</v>
      </c>
      <c r="F11" s="109">
        <v>0</v>
      </c>
      <c r="G11" s="109">
        <v>0</v>
      </c>
      <c r="H11" s="108">
        <v>23792.245688671199</v>
      </c>
      <c r="I11" s="109">
        <f>H11*12.5</f>
        <v>297403.07110839</v>
      </c>
      <c r="J11" s="109">
        <v>0</v>
      </c>
      <c r="K11" s="109">
        <v>0</v>
      </c>
      <c r="M11" s="39"/>
    </row>
    <row r="12" spans="1:13" x14ac:dyDescent="0.25">
      <c r="B12" s="4">
        <v>3</v>
      </c>
      <c r="C12" s="1" t="s">
        <v>139</v>
      </c>
      <c r="D12" s="109"/>
      <c r="E12" s="109">
        <f t="shared" si="0"/>
        <v>0</v>
      </c>
      <c r="F12" s="109"/>
      <c r="G12" s="109">
        <f t="shared" si="1"/>
        <v>0</v>
      </c>
      <c r="H12" s="109">
        <v>0</v>
      </c>
      <c r="I12" s="109">
        <f t="shared" ref="I12:I14" si="4">H12*12.5</f>
        <v>0</v>
      </c>
      <c r="J12" s="109"/>
      <c r="K12" s="109">
        <f t="shared" ref="K12:K14" si="5">J12*12.5</f>
        <v>0</v>
      </c>
    </row>
    <row r="13" spans="1:13" x14ac:dyDescent="0.25">
      <c r="B13" s="4">
        <v>4</v>
      </c>
      <c r="C13" s="1" t="s">
        <v>140</v>
      </c>
      <c r="D13" s="109"/>
      <c r="E13" s="109">
        <f t="shared" si="0"/>
        <v>0</v>
      </c>
      <c r="F13" s="109"/>
      <c r="G13" s="109">
        <f t="shared" si="1"/>
        <v>0</v>
      </c>
      <c r="H13" s="109">
        <v>0</v>
      </c>
      <c r="I13" s="109">
        <f t="shared" si="4"/>
        <v>0</v>
      </c>
      <c r="J13" s="109"/>
      <c r="K13" s="109">
        <f t="shared" si="5"/>
        <v>0</v>
      </c>
    </row>
    <row r="14" spans="1:13" x14ac:dyDescent="0.25">
      <c r="B14" s="4">
        <v>5</v>
      </c>
      <c r="C14" s="1" t="s">
        <v>141</v>
      </c>
      <c r="D14" s="109">
        <v>0</v>
      </c>
      <c r="E14" s="109">
        <f t="shared" si="0"/>
        <v>0</v>
      </c>
      <c r="F14" s="109">
        <v>0</v>
      </c>
      <c r="G14" s="109">
        <f t="shared" si="1"/>
        <v>0</v>
      </c>
      <c r="H14" s="109">
        <v>0</v>
      </c>
      <c r="I14" s="109">
        <f t="shared" si="4"/>
        <v>0</v>
      </c>
      <c r="J14" s="109">
        <v>0</v>
      </c>
      <c r="K14" s="109">
        <f t="shared" si="5"/>
        <v>0</v>
      </c>
    </row>
    <row r="15" spans="1:13" x14ac:dyDescent="0.25">
      <c r="B15" s="1"/>
      <c r="C15" s="1"/>
      <c r="D15" s="109"/>
      <c r="E15" s="109"/>
      <c r="F15" s="1"/>
      <c r="G15" s="1"/>
      <c r="H15" s="109"/>
      <c r="I15" s="109"/>
      <c r="J15" s="1"/>
      <c r="K15" s="1"/>
    </row>
    <row r="16" spans="1:13" s="52" customFormat="1" x14ac:dyDescent="0.25">
      <c r="B16" s="110"/>
      <c r="C16" s="110" t="s">
        <v>97</v>
      </c>
      <c r="D16" s="111">
        <f>SUM(D9:D15)</f>
        <v>12842.3808550864</v>
      </c>
      <c r="E16" s="111">
        <f>SUM(E9:E15)</f>
        <v>160529.76068857999</v>
      </c>
      <c r="F16" s="111">
        <f t="shared" ref="F16:G16" si="6">SUM(F9:F15)</f>
        <v>0</v>
      </c>
      <c r="G16" s="111">
        <f t="shared" si="6"/>
        <v>0</v>
      </c>
      <c r="H16" s="111">
        <f>SUM(H9:H15)</f>
        <v>23792.245688671199</v>
      </c>
      <c r="I16" s="111">
        <f>SUM(I9:I15)</f>
        <v>297403.07110839</v>
      </c>
      <c r="J16" s="111">
        <f t="shared" ref="J16:K16" si="7">SUM(J9:J15)</f>
        <v>0</v>
      </c>
      <c r="K16" s="111">
        <f t="shared" si="7"/>
        <v>0</v>
      </c>
    </row>
    <row r="19" spans="1:2" x14ac:dyDescent="0.25">
      <c r="A19" s="112" t="s">
        <v>163</v>
      </c>
      <c r="B19" t="s">
        <v>242</v>
      </c>
    </row>
    <row r="20" spans="1:2" x14ac:dyDescent="0.25">
      <c r="B20" s="114" t="s">
        <v>76</v>
      </c>
    </row>
  </sheetData>
  <mergeCells count="8">
    <mergeCell ref="B4:B6"/>
    <mergeCell ref="C4:C6"/>
    <mergeCell ref="D4:G4"/>
    <mergeCell ref="H4:K4"/>
    <mergeCell ref="D5:E5"/>
    <mergeCell ref="F5:G5"/>
    <mergeCell ref="H5:I5"/>
    <mergeCell ref="J5:K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election activeCell="H17" sqref="H17"/>
    </sheetView>
  </sheetViews>
  <sheetFormatPr defaultRowHeight="15" x14ac:dyDescent="0.25"/>
  <cols>
    <col min="1" max="1" width="2.7109375" customWidth="1"/>
    <col min="2" max="2" width="3.7109375" bestFit="1" customWidth="1"/>
    <col min="3" max="3" width="24.5703125" bestFit="1" customWidth="1"/>
    <col min="4" max="4" width="29.28515625" customWidth="1"/>
    <col min="5" max="5" width="11.140625" bestFit="1" customWidth="1"/>
    <col min="6" max="6" width="12.5703125" bestFit="1" customWidth="1"/>
  </cols>
  <sheetData>
    <row r="1" spans="1:6" x14ac:dyDescent="0.25">
      <c r="A1" s="156" t="s">
        <v>240</v>
      </c>
    </row>
    <row r="2" spans="1:6" x14ac:dyDescent="0.25">
      <c r="F2" s="112" t="s">
        <v>239</v>
      </c>
    </row>
    <row r="3" spans="1:6" s="107" customFormat="1" x14ac:dyDescent="0.25">
      <c r="B3" s="364" t="s">
        <v>18</v>
      </c>
      <c r="C3" s="364" t="s">
        <v>142</v>
      </c>
      <c r="D3" s="363" t="s">
        <v>23</v>
      </c>
      <c r="E3" s="363"/>
      <c r="F3" s="363"/>
    </row>
    <row r="4" spans="1:6" s="107" customFormat="1" x14ac:dyDescent="0.25">
      <c r="B4" s="364"/>
      <c r="C4" s="364"/>
      <c r="D4" s="154" t="s">
        <v>145</v>
      </c>
      <c r="E4" s="371" t="s">
        <v>27</v>
      </c>
      <c r="F4" s="373" t="s">
        <v>26</v>
      </c>
    </row>
    <row r="5" spans="1:6" s="107" customFormat="1" x14ac:dyDescent="0.25">
      <c r="B5" s="364"/>
      <c r="C5" s="364"/>
      <c r="D5" s="155" t="s">
        <v>144</v>
      </c>
      <c r="E5" s="372"/>
      <c r="F5" s="374"/>
    </row>
    <row r="6" spans="1:6" s="43" customFormat="1" ht="14.45" customHeight="1" x14ac:dyDescent="0.25">
      <c r="B6" s="7" t="s">
        <v>17</v>
      </c>
      <c r="C6" s="7" t="s">
        <v>22</v>
      </c>
      <c r="D6" s="7" t="s">
        <v>28</v>
      </c>
      <c r="E6" s="7" t="s">
        <v>29</v>
      </c>
      <c r="F6" s="7" t="s">
        <v>30</v>
      </c>
    </row>
    <row r="7" spans="1:6" x14ac:dyDescent="0.25">
      <c r="B7" s="4"/>
      <c r="C7" s="1"/>
      <c r="D7" s="1"/>
      <c r="E7" s="1"/>
      <c r="F7" s="1"/>
    </row>
    <row r="8" spans="1:6" x14ac:dyDescent="0.25">
      <c r="B8" s="4">
        <v>1</v>
      </c>
      <c r="C8" s="1" t="s">
        <v>143</v>
      </c>
      <c r="D8" s="108">
        <v>1369697.357473</v>
      </c>
      <c r="E8" s="109">
        <f>D8*15%</f>
        <v>205454.60362094999</v>
      </c>
      <c r="F8" s="5">
        <f>E8*12.5</f>
        <v>2568182.5452618748</v>
      </c>
    </row>
    <row r="9" spans="1:6" x14ac:dyDescent="0.25">
      <c r="B9" s="4"/>
      <c r="C9" s="1"/>
      <c r="D9" s="1"/>
      <c r="E9" s="1"/>
      <c r="F9" s="1"/>
    </row>
    <row r="10" spans="1:6" s="52" customFormat="1" x14ac:dyDescent="0.25">
      <c r="B10" s="153"/>
      <c r="C10" s="110" t="s">
        <v>97</v>
      </c>
      <c r="D10" s="113">
        <f>SUM(D8:D9)</f>
        <v>1369697.357473</v>
      </c>
      <c r="E10" s="113">
        <f t="shared" ref="E10:F10" si="0">SUM(E8:E9)</f>
        <v>205454.60362094999</v>
      </c>
      <c r="F10" s="113">
        <f t="shared" si="0"/>
        <v>2568182.5452618748</v>
      </c>
    </row>
    <row r="13" spans="1:6" x14ac:dyDescent="0.25">
      <c r="A13" s="163" t="s">
        <v>22</v>
      </c>
      <c r="B13" s="157" t="s">
        <v>125</v>
      </c>
    </row>
    <row r="14" spans="1:6" x14ac:dyDescent="0.25">
      <c r="A14" s="164"/>
      <c r="B14" s="158" t="s">
        <v>76</v>
      </c>
    </row>
  </sheetData>
  <mergeCells count="5">
    <mergeCell ref="D3:F3"/>
    <mergeCell ref="B3:B5"/>
    <mergeCell ref="C3:C5"/>
    <mergeCell ref="E4:E5"/>
    <mergeCell ref="F4:F5"/>
  </mergeCells>
  <pageMargins left="0.7" right="0.7" top="0.75" bottom="0.75" header="0.3" footer="0.3"/>
  <ignoredErrors>
    <ignoredError sqref="B6:F6 A13:B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M14" sqref="M14"/>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9" width="13.5703125" customWidth="1"/>
    <col min="10" max="10" width="13.140625" bestFit="1" customWidth="1"/>
    <col min="12" max="12" width="14" customWidth="1"/>
    <col min="13" max="13" width="13.85546875" customWidth="1"/>
  </cols>
  <sheetData>
    <row r="1" spans="1:13" x14ac:dyDescent="0.25">
      <c r="A1" t="s">
        <v>146</v>
      </c>
      <c r="B1" t="s">
        <v>147</v>
      </c>
    </row>
    <row r="2" spans="1:13" x14ac:dyDescent="0.25">
      <c r="B2" s="114" t="s">
        <v>17</v>
      </c>
      <c r="C2" t="s">
        <v>148</v>
      </c>
    </row>
    <row r="3" spans="1:13" x14ac:dyDescent="0.25">
      <c r="C3" s="114" t="s">
        <v>149</v>
      </c>
      <c r="D3" t="s">
        <v>150</v>
      </c>
    </row>
    <row r="4" spans="1:13" x14ac:dyDescent="0.25">
      <c r="D4" t="s">
        <v>155</v>
      </c>
    </row>
    <row r="6" spans="1:13" x14ac:dyDescent="0.25">
      <c r="C6" s="114" t="s">
        <v>151</v>
      </c>
      <c r="D6" t="s">
        <v>152</v>
      </c>
    </row>
    <row r="7" spans="1:13" x14ac:dyDescent="0.25">
      <c r="D7" t="s">
        <v>155</v>
      </c>
    </row>
    <row r="9" spans="1:13" x14ac:dyDescent="0.25">
      <c r="C9" s="114" t="s">
        <v>153</v>
      </c>
      <c r="D9" t="s">
        <v>154</v>
      </c>
    </row>
    <row r="10" spans="1:13" s="115" customFormat="1" x14ac:dyDescent="0.25">
      <c r="D10" s="277" t="s">
        <v>18</v>
      </c>
      <c r="E10" s="277" t="s">
        <v>19</v>
      </c>
      <c r="F10" s="279" t="s">
        <v>58</v>
      </c>
      <c r="G10" s="279"/>
      <c r="H10" s="279"/>
      <c r="I10" s="279"/>
      <c r="J10" s="279" t="s">
        <v>23</v>
      </c>
      <c r="K10" s="279"/>
      <c r="L10" s="279"/>
      <c r="M10" s="279"/>
    </row>
    <row r="11" spans="1:13" s="115" customFormat="1" ht="28.5" customHeight="1" x14ac:dyDescent="0.25">
      <c r="D11" s="278"/>
      <c r="E11" s="278"/>
      <c r="F11" s="116" t="s">
        <v>59</v>
      </c>
      <c r="G11" s="116" t="s">
        <v>156</v>
      </c>
      <c r="H11" s="118" t="s">
        <v>157</v>
      </c>
      <c r="I11" s="118" t="s">
        <v>158</v>
      </c>
      <c r="J11" s="116" t="s">
        <v>59</v>
      </c>
      <c r="K11" s="116" t="s">
        <v>156</v>
      </c>
      <c r="L11" s="118" t="s">
        <v>157</v>
      </c>
      <c r="M11" s="118" t="s">
        <v>158</v>
      </c>
    </row>
    <row r="12" spans="1:13" s="43" customFormat="1" ht="14.45" customHeight="1" x14ac:dyDescent="0.25">
      <c r="D12" s="7" t="s">
        <v>17</v>
      </c>
      <c r="E12" s="7" t="s">
        <v>22</v>
      </c>
      <c r="F12" s="7" t="s">
        <v>28</v>
      </c>
      <c r="G12" s="7" t="s">
        <v>29</v>
      </c>
      <c r="H12" s="7" t="s">
        <v>30</v>
      </c>
      <c r="I12" s="7" t="s">
        <v>31</v>
      </c>
      <c r="J12" s="7" t="s">
        <v>28</v>
      </c>
      <c r="K12" s="7" t="s">
        <v>29</v>
      </c>
      <c r="L12" s="7" t="s">
        <v>30</v>
      </c>
      <c r="M12" s="7" t="s">
        <v>31</v>
      </c>
    </row>
    <row r="13" spans="1:13" x14ac:dyDescent="0.25">
      <c r="D13" s="16"/>
      <c r="E13" s="16"/>
      <c r="F13" s="16"/>
      <c r="G13" s="16"/>
      <c r="H13" s="16"/>
      <c r="I13" s="16"/>
      <c r="J13" s="16"/>
      <c r="K13" s="16"/>
      <c r="L13" s="16"/>
      <c r="M13" s="16"/>
    </row>
    <row r="14" spans="1:13" x14ac:dyDescent="0.25">
      <c r="D14" s="16">
        <v>1</v>
      </c>
      <c r="E14" s="17" t="s">
        <v>0</v>
      </c>
      <c r="F14" s="24">
        <v>290969.09999999998</v>
      </c>
      <c r="G14" s="24">
        <v>0</v>
      </c>
      <c r="H14" s="24">
        <f>F14-G14</f>
        <v>290969.09999999998</v>
      </c>
      <c r="I14" s="165">
        <f>H14*0%</f>
        <v>0</v>
      </c>
      <c r="J14" s="24">
        <v>263405</v>
      </c>
      <c r="K14" s="24">
        <v>0</v>
      </c>
      <c r="L14" s="24">
        <f>J14-K14</f>
        <v>263405</v>
      </c>
      <c r="M14" s="165">
        <f>L14*0%</f>
        <v>0</v>
      </c>
    </row>
    <row r="15" spans="1:13" x14ac:dyDescent="0.25">
      <c r="D15" s="16">
        <v>2</v>
      </c>
      <c r="E15" s="17" t="s">
        <v>1</v>
      </c>
      <c r="F15" s="24">
        <v>0</v>
      </c>
      <c r="G15" s="24">
        <v>0</v>
      </c>
      <c r="H15" s="24">
        <v>0</v>
      </c>
      <c r="I15" s="24">
        <v>0</v>
      </c>
      <c r="J15" s="24">
        <v>0</v>
      </c>
      <c r="K15" s="24">
        <v>0</v>
      </c>
      <c r="L15" s="24">
        <v>0</v>
      </c>
      <c r="M15" s="24">
        <v>0</v>
      </c>
    </row>
    <row r="16" spans="1:13" x14ac:dyDescent="0.25">
      <c r="D16" s="16">
        <v>3</v>
      </c>
      <c r="E16" s="17" t="s">
        <v>2</v>
      </c>
      <c r="F16" s="24">
        <v>0</v>
      </c>
      <c r="G16" s="24">
        <v>0</v>
      </c>
      <c r="H16" s="24">
        <v>0</v>
      </c>
      <c r="I16" s="24">
        <v>0</v>
      </c>
      <c r="J16" s="24">
        <v>0</v>
      </c>
      <c r="K16" s="24">
        <v>0</v>
      </c>
      <c r="L16" s="24">
        <v>0</v>
      </c>
      <c r="M16" s="24">
        <v>0</v>
      </c>
    </row>
    <row r="17" spans="2:13" x14ac:dyDescent="0.25">
      <c r="D17" s="16">
        <v>4</v>
      </c>
      <c r="E17" s="17" t="s">
        <v>3</v>
      </c>
      <c r="F17" s="24">
        <v>0</v>
      </c>
      <c r="G17" s="24">
        <v>0</v>
      </c>
      <c r="H17" s="24">
        <v>0</v>
      </c>
      <c r="I17" s="24">
        <v>0</v>
      </c>
      <c r="J17" s="24">
        <v>0</v>
      </c>
      <c r="K17" s="24">
        <v>0</v>
      </c>
      <c r="L17" s="24">
        <v>0</v>
      </c>
      <c r="M17" s="24">
        <v>0</v>
      </c>
    </row>
    <row r="18" spans="2:13" x14ac:dyDescent="0.25">
      <c r="D18" s="16">
        <v>5</v>
      </c>
      <c r="E18" s="17" t="s">
        <v>7</v>
      </c>
      <c r="F18" s="24">
        <v>0</v>
      </c>
      <c r="G18" s="24">
        <v>0</v>
      </c>
      <c r="H18" s="24">
        <v>0</v>
      </c>
      <c r="I18" s="24">
        <v>0</v>
      </c>
      <c r="J18" s="24">
        <v>0</v>
      </c>
      <c r="K18" s="24">
        <v>0</v>
      </c>
      <c r="L18" s="24">
        <v>0</v>
      </c>
      <c r="M18" s="24">
        <v>0</v>
      </c>
    </row>
    <row r="19" spans="2:13" x14ac:dyDescent="0.25">
      <c r="D19" s="16">
        <v>6</v>
      </c>
      <c r="E19" s="17" t="s">
        <v>8</v>
      </c>
      <c r="F19" s="24">
        <v>0</v>
      </c>
      <c r="G19" s="24">
        <v>0</v>
      </c>
      <c r="H19" s="24">
        <v>0</v>
      </c>
      <c r="I19" s="24">
        <v>0</v>
      </c>
      <c r="J19" s="24">
        <v>0</v>
      </c>
      <c r="K19" s="24">
        <v>0</v>
      </c>
      <c r="L19" s="24">
        <v>0</v>
      </c>
      <c r="M19" s="24">
        <v>0</v>
      </c>
    </row>
    <row r="20" spans="2:13" x14ac:dyDescent="0.25">
      <c r="D20" s="16"/>
      <c r="E20" s="16"/>
      <c r="F20" s="24"/>
      <c r="G20" s="24"/>
      <c r="H20" s="24"/>
      <c r="I20" s="24"/>
      <c r="J20" s="24"/>
      <c r="K20" s="24"/>
      <c r="L20" s="24"/>
      <c r="M20" s="24"/>
    </row>
    <row r="21" spans="2:13" x14ac:dyDescent="0.25">
      <c r="D21" s="116"/>
      <c r="E21" s="116" t="s">
        <v>97</v>
      </c>
      <c r="F21" s="117">
        <f>SUM(F14:F20)</f>
        <v>290969.09999999998</v>
      </c>
      <c r="G21" s="117">
        <f t="shared" ref="G21" si="0">SUM(G14:G20)</f>
        <v>0</v>
      </c>
      <c r="H21" s="117">
        <f t="shared" ref="H21" si="1">SUM(H14:H20)</f>
        <v>290969.09999999998</v>
      </c>
      <c r="I21" s="166">
        <f t="shared" ref="I21" si="2">SUM(I14:I20)</f>
        <v>0</v>
      </c>
      <c r="J21" s="117">
        <f>SUM(J14:J20)</f>
        <v>263405</v>
      </c>
      <c r="K21" s="117">
        <f t="shared" ref="K21:M21" si="3">SUM(K14:K20)</f>
        <v>0</v>
      </c>
      <c r="L21" s="117">
        <f t="shared" si="3"/>
        <v>263405</v>
      </c>
      <c r="M21" s="166">
        <f t="shared" si="3"/>
        <v>0</v>
      </c>
    </row>
    <row r="24" spans="2:13" x14ac:dyDescent="0.25">
      <c r="B24" s="157" t="s">
        <v>236</v>
      </c>
      <c r="C24" s="157"/>
    </row>
    <row r="25" spans="2:13" x14ac:dyDescent="0.25">
      <c r="B25" s="158" t="s">
        <v>241</v>
      </c>
      <c r="C25" s="157"/>
    </row>
  </sheetData>
  <mergeCells count="4">
    <mergeCell ref="D10:D11"/>
    <mergeCell ref="E10:E11"/>
    <mergeCell ref="J10:M10"/>
    <mergeCell ref="F10:I10"/>
  </mergeCells>
  <pageMargins left="0.7" right="0.7" top="0.75" bottom="0.75" header="0.3" footer="0.3"/>
  <ignoredErrors>
    <ignoredError sqref="B2 D12:M12"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F9" sqref="F9"/>
    </sheetView>
  </sheetViews>
  <sheetFormatPr defaultRowHeight="15" x14ac:dyDescent="0.25"/>
  <cols>
    <col min="1" max="1" width="2.5703125" customWidth="1"/>
    <col min="2" max="2" width="3.7109375" bestFit="1" customWidth="1"/>
    <col min="3" max="3" width="25" bestFit="1" customWidth="1"/>
    <col min="4" max="4" width="25.42578125" bestFit="1" customWidth="1"/>
    <col min="5" max="5" width="9.7109375" customWidth="1"/>
    <col min="6" max="6" width="10.5703125" bestFit="1" customWidth="1"/>
    <col min="7" max="7" width="25.42578125" bestFit="1" customWidth="1"/>
    <col min="8" max="8" width="8.85546875" customWidth="1"/>
    <col min="9" max="9" width="18.85546875" bestFit="1" customWidth="1"/>
  </cols>
  <sheetData>
    <row r="1" spans="1:9" x14ac:dyDescent="0.25">
      <c r="A1" s="156" t="s">
        <v>240</v>
      </c>
    </row>
    <row r="2" spans="1:9" x14ac:dyDescent="0.25">
      <c r="I2" s="112" t="s">
        <v>239</v>
      </c>
    </row>
    <row r="3" spans="1:9" s="107" customFormat="1" x14ac:dyDescent="0.25">
      <c r="B3" s="364" t="s">
        <v>18</v>
      </c>
      <c r="C3" s="364" t="s">
        <v>142</v>
      </c>
      <c r="D3" s="363" t="s">
        <v>58</v>
      </c>
      <c r="E3" s="363"/>
      <c r="F3" s="363"/>
      <c r="G3" s="363" t="s">
        <v>23</v>
      </c>
      <c r="H3" s="363"/>
      <c r="I3" s="363"/>
    </row>
    <row r="4" spans="1:9" s="107" customFormat="1" x14ac:dyDescent="0.25">
      <c r="B4" s="364"/>
      <c r="C4" s="364"/>
      <c r="D4" s="154" t="s">
        <v>145</v>
      </c>
      <c r="E4" s="371" t="s">
        <v>27</v>
      </c>
      <c r="F4" s="373" t="s">
        <v>26</v>
      </c>
      <c r="G4" s="154" t="s">
        <v>145</v>
      </c>
      <c r="H4" s="371" t="s">
        <v>27</v>
      </c>
      <c r="I4" s="373" t="s">
        <v>26</v>
      </c>
    </row>
    <row r="5" spans="1:9" s="107" customFormat="1" ht="30" x14ac:dyDescent="0.25">
      <c r="B5" s="364"/>
      <c r="C5" s="364"/>
      <c r="D5" s="155" t="s">
        <v>144</v>
      </c>
      <c r="E5" s="372"/>
      <c r="F5" s="374"/>
      <c r="G5" s="155" t="s">
        <v>144</v>
      </c>
      <c r="H5" s="372"/>
      <c r="I5" s="374"/>
    </row>
    <row r="6" spans="1:9" s="43" customFormat="1" ht="14.45" customHeight="1" x14ac:dyDescent="0.25">
      <c r="B6" s="7" t="s">
        <v>17</v>
      </c>
      <c r="C6" s="7" t="s">
        <v>22</v>
      </c>
      <c r="D6" s="7"/>
      <c r="E6" s="7"/>
      <c r="F6" s="7"/>
      <c r="G6" s="7" t="s">
        <v>28</v>
      </c>
      <c r="H6" s="7" t="s">
        <v>29</v>
      </c>
      <c r="I6" s="7" t="s">
        <v>30</v>
      </c>
    </row>
    <row r="7" spans="1:9" x14ac:dyDescent="0.25">
      <c r="B7" s="1"/>
      <c r="C7" s="1"/>
      <c r="D7" s="1"/>
      <c r="E7" s="1"/>
      <c r="F7" s="1"/>
      <c r="G7" s="1"/>
      <c r="H7" s="1"/>
      <c r="I7" s="1"/>
    </row>
    <row r="8" spans="1:9" x14ac:dyDescent="0.25">
      <c r="B8" s="1">
        <v>1</v>
      </c>
      <c r="C8" s="1" t="s">
        <v>143</v>
      </c>
      <c r="D8" s="109">
        <v>1435468.7466569999</v>
      </c>
      <c r="E8" s="109">
        <f>D8*15%</f>
        <v>215320.31199854999</v>
      </c>
      <c r="F8" s="109">
        <f>E8*12.5</f>
        <v>2691503.899981875</v>
      </c>
      <c r="G8" s="108">
        <v>1369697.357473</v>
      </c>
      <c r="H8" s="109">
        <f>G8*15%</f>
        <v>205454.60362094999</v>
      </c>
      <c r="I8" s="5">
        <f>H8*12.5</f>
        <v>2568182.5452618748</v>
      </c>
    </row>
    <row r="9" spans="1:9" x14ac:dyDescent="0.25">
      <c r="B9" s="1"/>
      <c r="C9" s="1"/>
      <c r="D9" s="1"/>
      <c r="E9" s="1"/>
      <c r="F9" s="1"/>
      <c r="G9" s="1"/>
      <c r="H9" s="1"/>
      <c r="I9" s="1"/>
    </row>
    <row r="10" spans="1:9" s="52" customFormat="1" x14ac:dyDescent="0.25">
      <c r="B10" s="110"/>
      <c r="C10" s="110" t="s">
        <v>97</v>
      </c>
      <c r="D10" s="110"/>
      <c r="E10" s="110"/>
      <c r="F10" s="110"/>
      <c r="G10" s="113">
        <f>SUM(G8:G9)</f>
        <v>1369697.357473</v>
      </c>
      <c r="H10" s="113">
        <f t="shared" ref="H10:I10" si="0">SUM(H8:H9)</f>
        <v>205454.60362094999</v>
      </c>
      <c r="I10" s="113">
        <f t="shared" si="0"/>
        <v>2568182.5452618748</v>
      </c>
    </row>
    <row r="13" spans="1:9" x14ac:dyDescent="0.25">
      <c r="A13" s="163" t="s">
        <v>22</v>
      </c>
      <c r="B13" s="157" t="s">
        <v>125</v>
      </c>
    </row>
    <row r="14" spans="1:9" x14ac:dyDescent="0.25">
      <c r="A14" s="164"/>
      <c r="B14" s="158" t="s">
        <v>76</v>
      </c>
    </row>
  </sheetData>
  <mergeCells count="8">
    <mergeCell ref="B3:B5"/>
    <mergeCell ref="C3:C5"/>
    <mergeCell ref="G3:I3"/>
    <mergeCell ref="D3:F3"/>
    <mergeCell ref="E4:E5"/>
    <mergeCell ref="H4:H5"/>
    <mergeCell ref="F4:F5"/>
    <mergeCell ref="I4:I5"/>
  </mergeCells>
  <pageMargins left="0.7" right="0.7" top="0.75" bottom="0.75" header="0.3" footer="0.3"/>
  <ignoredErrors>
    <ignoredError sqref="B6:I6 A13"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G3" sqref="G3:I3"/>
    </sheetView>
  </sheetViews>
  <sheetFormatPr defaultRowHeight="15" x14ac:dyDescent="0.25"/>
  <cols>
    <col min="1" max="1" width="2.5703125" customWidth="1"/>
    <col min="2" max="2" width="3.7109375" bestFit="1" customWidth="1"/>
    <col min="3" max="3" width="25" bestFit="1" customWidth="1"/>
    <col min="4" max="4" width="25.42578125" bestFit="1" customWidth="1"/>
    <col min="5" max="5" width="9.7109375" customWidth="1"/>
    <col min="6" max="6" width="10.5703125" bestFit="1" customWidth="1"/>
    <col min="7" max="7" width="25.42578125" bestFit="1" customWidth="1"/>
    <col min="8" max="8" width="8.85546875" customWidth="1"/>
    <col min="9" max="9" width="18.85546875" bestFit="1" customWidth="1"/>
  </cols>
  <sheetData>
    <row r="1" spans="1:9" x14ac:dyDescent="0.25">
      <c r="A1" s="156" t="s">
        <v>240</v>
      </c>
    </row>
    <row r="2" spans="1:9" x14ac:dyDescent="0.25">
      <c r="I2" s="112" t="s">
        <v>239</v>
      </c>
    </row>
    <row r="3" spans="1:9" s="107" customFormat="1" x14ac:dyDescent="0.25">
      <c r="B3" s="364" t="s">
        <v>18</v>
      </c>
      <c r="C3" s="364" t="s">
        <v>142</v>
      </c>
      <c r="D3" s="363" t="s">
        <v>243</v>
      </c>
      <c r="E3" s="363"/>
      <c r="F3" s="363"/>
      <c r="G3" s="363" t="s">
        <v>58</v>
      </c>
      <c r="H3" s="363"/>
      <c r="I3" s="363"/>
    </row>
    <row r="4" spans="1:9" s="107" customFormat="1" x14ac:dyDescent="0.25">
      <c r="B4" s="364"/>
      <c r="C4" s="364"/>
      <c r="D4" s="182" t="s">
        <v>145</v>
      </c>
      <c r="E4" s="371" t="s">
        <v>27</v>
      </c>
      <c r="F4" s="373" t="s">
        <v>26</v>
      </c>
      <c r="G4" s="182" t="s">
        <v>145</v>
      </c>
      <c r="H4" s="371" t="s">
        <v>27</v>
      </c>
      <c r="I4" s="373" t="s">
        <v>26</v>
      </c>
    </row>
    <row r="5" spans="1:9" s="107" customFormat="1" ht="30" x14ac:dyDescent="0.25">
      <c r="B5" s="364"/>
      <c r="C5" s="364"/>
      <c r="D5" s="155" t="s">
        <v>144</v>
      </c>
      <c r="E5" s="372"/>
      <c r="F5" s="374"/>
      <c r="G5" s="155" t="s">
        <v>144</v>
      </c>
      <c r="H5" s="372"/>
      <c r="I5" s="374"/>
    </row>
    <row r="6" spans="1:9" s="43" customFormat="1" ht="14.45" customHeight="1" x14ac:dyDescent="0.25">
      <c r="B6" s="7" t="s">
        <v>17</v>
      </c>
      <c r="C6" s="7" t="s">
        <v>22</v>
      </c>
      <c r="D6" s="7"/>
      <c r="E6" s="7"/>
      <c r="F6" s="7"/>
      <c r="G6" s="7" t="s">
        <v>28</v>
      </c>
      <c r="H6" s="7" t="s">
        <v>29</v>
      </c>
      <c r="I6" s="7" t="s">
        <v>30</v>
      </c>
    </row>
    <row r="7" spans="1:9" x14ac:dyDescent="0.25">
      <c r="B7" s="1"/>
      <c r="C7" s="1"/>
      <c r="D7" s="1"/>
      <c r="E7" s="1"/>
      <c r="F7" s="1"/>
      <c r="G7" s="1"/>
      <c r="H7" s="1"/>
      <c r="I7" s="1"/>
    </row>
    <row r="8" spans="1:9" x14ac:dyDescent="0.25">
      <c r="B8" s="1">
        <v>1</v>
      </c>
      <c r="C8" s="1" t="s">
        <v>143</v>
      </c>
      <c r="D8" s="109">
        <v>1568939.9087466665</v>
      </c>
      <c r="E8" s="109">
        <v>235340.98631199996</v>
      </c>
      <c r="F8" s="109">
        <v>2941762.3288999996</v>
      </c>
      <c r="G8" s="109">
        <v>1435468.7466569999</v>
      </c>
      <c r="H8" s="109">
        <f>G8*15%</f>
        <v>215320.31199854999</v>
      </c>
      <c r="I8" s="109">
        <f>H8*12.5</f>
        <v>2691503.899981875</v>
      </c>
    </row>
    <row r="9" spans="1:9" x14ac:dyDescent="0.25">
      <c r="B9" s="1"/>
      <c r="C9" s="1"/>
      <c r="D9" s="1"/>
      <c r="E9" s="1"/>
      <c r="F9" s="1"/>
      <c r="G9" s="1"/>
      <c r="H9" s="1"/>
      <c r="I9" s="1"/>
    </row>
    <row r="10" spans="1:9" s="52" customFormat="1" x14ac:dyDescent="0.25">
      <c r="B10" s="110"/>
      <c r="C10" s="110" t="s">
        <v>97</v>
      </c>
      <c r="D10" s="113">
        <f>SUM(D8:D9)</f>
        <v>1568939.9087466665</v>
      </c>
      <c r="E10" s="113">
        <f t="shared" ref="E10:F10" si="0">SUM(E8:E9)</f>
        <v>235340.98631199996</v>
      </c>
      <c r="F10" s="113">
        <f t="shared" si="0"/>
        <v>2941762.3288999996</v>
      </c>
      <c r="G10" s="113">
        <f>SUM(G8:G9)</f>
        <v>1435468.7466569999</v>
      </c>
      <c r="H10" s="113">
        <f t="shared" ref="H10:I10" si="1">SUM(H8:H9)</f>
        <v>215320.31199854999</v>
      </c>
      <c r="I10" s="113">
        <f t="shared" si="1"/>
        <v>2691503.899981875</v>
      </c>
    </row>
    <row r="13" spans="1:9" x14ac:dyDescent="0.25">
      <c r="A13" s="163" t="s">
        <v>22</v>
      </c>
      <c r="B13" s="157" t="s">
        <v>125</v>
      </c>
    </row>
    <row r="14" spans="1:9" x14ac:dyDescent="0.25">
      <c r="A14" s="164"/>
      <c r="B14" s="158" t="s">
        <v>76</v>
      </c>
    </row>
  </sheetData>
  <mergeCells count="8">
    <mergeCell ref="B3:B5"/>
    <mergeCell ref="C3:C5"/>
    <mergeCell ref="D3:F3"/>
    <mergeCell ref="G3:I3"/>
    <mergeCell ref="E4:E5"/>
    <mergeCell ref="F4:F5"/>
    <mergeCell ref="H4:H5"/>
    <mergeCell ref="I4:I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activeCell="F8" sqref="F8"/>
    </sheetView>
  </sheetViews>
  <sheetFormatPr defaultRowHeight="15" x14ac:dyDescent="0.25"/>
  <cols>
    <col min="1" max="1" width="2.5703125" customWidth="1"/>
    <col min="2" max="2" width="3.7109375" bestFit="1" customWidth="1"/>
    <col min="3" max="3" width="25" bestFit="1" customWidth="1"/>
    <col min="4" max="4" width="25.42578125" bestFit="1" customWidth="1"/>
    <col min="5" max="5" width="9.7109375" customWidth="1"/>
    <col min="6" max="6" width="10.5703125" bestFit="1" customWidth="1"/>
    <col min="7" max="7" width="25.42578125" bestFit="1" customWidth="1"/>
    <col min="8" max="8" width="8.85546875" customWidth="1"/>
    <col min="9" max="9" width="18.85546875" bestFit="1" customWidth="1"/>
  </cols>
  <sheetData>
    <row r="1" spans="1:9" x14ac:dyDescent="0.25">
      <c r="A1" s="156" t="s">
        <v>240</v>
      </c>
    </row>
    <row r="2" spans="1:9" x14ac:dyDescent="0.25">
      <c r="I2" s="112" t="s">
        <v>239</v>
      </c>
    </row>
    <row r="3" spans="1:9" s="107" customFormat="1" x14ac:dyDescent="0.25">
      <c r="B3" s="364" t="s">
        <v>18</v>
      </c>
      <c r="C3" s="364" t="s">
        <v>142</v>
      </c>
      <c r="D3" s="363" t="s">
        <v>250</v>
      </c>
      <c r="E3" s="363"/>
      <c r="F3" s="363"/>
      <c r="G3" s="363" t="s">
        <v>247</v>
      </c>
      <c r="H3" s="363"/>
      <c r="I3" s="363"/>
    </row>
    <row r="4" spans="1:9" s="107" customFormat="1" x14ac:dyDescent="0.25">
      <c r="B4" s="364"/>
      <c r="C4" s="364"/>
      <c r="D4" s="258" t="s">
        <v>145</v>
      </c>
      <c r="E4" s="371" t="s">
        <v>27</v>
      </c>
      <c r="F4" s="373" t="s">
        <v>26</v>
      </c>
      <c r="G4" s="258" t="s">
        <v>145</v>
      </c>
      <c r="H4" s="371" t="s">
        <v>27</v>
      </c>
      <c r="I4" s="373" t="s">
        <v>26</v>
      </c>
    </row>
    <row r="5" spans="1:9" s="107" customFormat="1" ht="30" x14ac:dyDescent="0.25">
      <c r="B5" s="364"/>
      <c r="C5" s="364"/>
      <c r="D5" s="155" t="s">
        <v>144</v>
      </c>
      <c r="E5" s="372"/>
      <c r="F5" s="374"/>
      <c r="G5" s="155" t="s">
        <v>144</v>
      </c>
      <c r="H5" s="372"/>
      <c r="I5" s="374"/>
    </row>
    <row r="6" spans="1:9" s="43" customFormat="1" ht="14.45" customHeight="1" x14ac:dyDescent="0.25">
      <c r="B6" s="7" t="s">
        <v>17</v>
      </c>
      <c r="C6" s="7" t="s">
        <v>22</v>
      </c>
      <c r="D6" s="7"/>
      <c r="E6" s="7"/>
      <c r="F6" s="7"/>
      <c r="G6" s="7" t="s">
        <v>28</v>
      </c>
      <c r="H6" s="7" t="s">
        <v>29</v>
      </c>
      <c r="I6" s="7" t="s">
        <v>30</v>
      </c>
    </row>
    <row r="7" spans="1:9" x14ac:dyDescent="0.25">
      <c r="B7" s="1"/>
      <c r="C7" s="1"/>
      <c r="D7" s="1"/>
      <c r="E7" s="1"/>
      <c r="F7" s="1"/>
      <c r="G7" s="1"/>
      <c r="H7" s="1"/>
      <c r="I7" s="1"/>
    </row>
    <row r="8" spans="1:9" x14ac:dyDescent="0.25">
      <c r="B8" s="1">
        <v>1</v>
      </c>
      <c r="C8" s="1" t="s">
        <v>143</v>
      </c>
      <c r="D8" s="109">
        <v>2077196.0927903336</v>
      </c>
      <c r="E8" s="109">
        <v>311579.41391855001</v>
      </c>
      <c r="F8" s="109">
        <v>3894742.6739818752</v>
      </c>
      <c r="G8" s="109">
        <v>1818418</v>
      </c>
      <c r="H8" s="109">
        <v>272763</v>
      </c>
      <c r="I8" s="109">
        <v>3409534</v>
      </c>
    </row>
    <row r="9" spans="1:9" x14ac:dyDescent="0.25">
      <c r="B9" s="1"/>
      <c r="C9" s="1"/>
      <c r="D9" s="1"/>
      <c r="E9" s="1"/>
      <c r="F9" s="1"/>
      <c r="G9" s="1"/>
      <c r="H9" s="1"/>
      <c r="I9" s="1"/>
    </row>
    <row r="10" spans="1:9" s="52" customFormat="1" x14ac:dyDescent="0.25">
      <c r="B10" s="110"/>
      <c r="C10" s="110" t="s">
        <v>97</v>
      </c>
      <c r="D10" s="113">
        <f>SUM(D8:D9)</f>
        <v>2077196.0927903336</v>
      </c>
      <c r="E10" s="113">
        <f t="shared" ref="E10:F10" si="0">SUM(E8:E9)</f>
        <v>311579.41391855001</v>
      </c>
      <c r="F10" s="113">
        <f t="shared" si="0"/>
        <v>3894742.6739818752</v>
      </c>
      <c r="G10" s="113">
        <f>SUM(G8:G9)</f>
        <v>1818418</v>
      </c>
      <c r="H10" s="113">
        <f t="shared" ref="H10:I10" si="1">SUM(H8:H9)</f>
        <v>272763</v>
      </c>
      <c r="I10" s="113">
        <f t="shared" si="1"/>
        <v>3409534</v>
      </c>
    </row>
    <row r="13" spans="1:9" x14ac:dyDescent="0.25">
      <c r="A13" s="163" t="s">
        <v>22</v>
      </c>
      <c r="B13" s="157" t="s">
        <v>125</v>
      </c>
    </row>
    <row r="14" spans="1:9" x14ac:dyDescent="0.25">
      <c r="A14" s="164"/>
      <c r="B14" s="158" t="s">
        <v>76</v>
      </c>
    </row>
  </sheetData>
  <mergeCells count="8">
    <mergeCell ref="B3:B5"/>
    <mergeCell ref="C3:C5"/>
    <mergeCell ref="D3:F3"/>
    <mergeCell ref="G3:I3"/>
    <mergeCell ref="E4:E5"/>
    <mergeCell ref="F4:F5"/>
    <mergeCell ref="H4:H5"/>
    <mergeCell ref="I4:I5"/>
  </mergeCells>
  <pageMargins left="0.70866141732283472" right="0.70866141732283472" top="0.74803149606299213" bottom="0.74803149606299213" header="0.31496062992125984" footer="0.31496062992125984"/>
  <pageSetup paperSize="5"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activeCell="N31" sqref="N31"/>
    </sheetView>
  </sheetViews>
  <sheetFormatPr defaultRowHeight="15" x14ac:dyDescent="0.25"/>
  <cols>
    <col min="1" max="1" width="2.5703125" customWidth="1"/>
    <col min="2" max="2" width="3.7109375" bestFit="1" customWidth="1"/>
    <col min="3" max="3" width="25" bestFit="1" customWidth="1"/>
    <col min="4" max="4" width="25.42578125" bestFit="1" customWidth="1"/>
    <col min="5" max="5" width="9.7109375" customWidth="1"/>
    <col min="6" max="6" width="10.5703125" bestFit="1" customWidth="1"/>
    <col min="7" max="7" width="25.42578125" bestFit="1" customWidth="1"/>
    <col min="8" max="8" width="8.85546875" customWidth="1"/>
    <col min="9" max="9" width="18.85546875" bestFit="1" customWidth="1"/>
  </cols>
  <sheetData>
    <row r="1" spans="1:9" x14ac:dyDescent="0.25">
      <c r="A1" s="156" t="s">
        <v>240</v>
      </c>
    </row>
    <row r="2" spans="1:9" x14ac:dyDescent="0.25">
      <c r="I2" s="112" t="s">
        <v>239</v>
      </c>
    </row>
    <row r="3" spans="1:9" s="107" customFormat="1" x14ac:dyDescent="0.25">
      <c r="B3" s="364" t="s">
        <v>18</v>
      </c>
      <c r="C3" s="364" t="s">
        <v>142</v>
      </c>
      <c r="D3" s="363" t="s">
        <v>247</v>
      </c>
      <c r="E3" s="363"/>
      <c r="F3" s="363"/>
      <c r="G3" s="363" t="s">
        <v>245</v>
      </c>
      <c r="H3" s="363"/>
      <c r="I3" s="363"/>
    </row>
    <row r="4" spans="1:9" s="107" customFormat="1" x14ac:dyDescent="0.25">
      <c r="B4" s="364"/>
      <c r="C4" s="364"/>
      <c r="D4" s="219" t="s">
        <v>145</v>
      </c>
      <c r="E4" s="371" t="s">
        <v>27</v>
      </c>
      <c r="F4" s="373" t="s">
        <v>26</v>
      </c>
      <c r="G4" s="219" t="s">
        <v>145</v>
      </c>
      <c r="H4" s="371" t="s">
        <v>27</v>
      </c>
      <c r="I4" s="373" t="s">
        <v>26</v>
      </c>
    </row>
    <row r="5" spans="1:9" s="107" customFormat="1" ht="30" x14ac:dyDescent="0.25">
      <c r="B5" s="364"/>
      <c r="C5" s="364"/>
      <c r="D5" s="155" t="s">
        <v>144</v>
      </c>
      <c r="E5" s="372"/>
      <c r="F5" s="374"/>
      <c r="G5" s="155" t="s">
        <v>144</v>
      </c>
      <c r="H5" s="372"/>
      <c r="I5" s="374"/>
    </row>
    <row r="6" spans="1:9" s="43" customFormat="1" ht="14.45" customHeight="1" x14ac:dyDescent="0.25">
      <c r="B6" s="7" t="s">
        <v>17</v>
      </c>
      <c r="C6" s="7" t="s">
        <v>22</v>
      </c>
      <c r="D6" s="7"/>
      <c r="E6" s="7"/>
      <c r="F6" s="7"/>
      <c r="G6" s="7" t="s">
        <v>28</v>
      </c>
      <c r="H6" s="7" t="s">
        <v>29</v>
      </c>
      <c r="I6" s="7" t="s">
        <v>30</v>
      </c>
    </row>
    <row r="7" spans="1:9" x14ac:dyDescent="0.25">
      <c r="B7" s="1"/>
      <c r="C7" s="1"/>
      <c r="D7" s="1"/>
      <c r="E7" s="1"/>
      <c r="F7" s="1"/>
      <c r="G7" s="1"/>
      <c r="H7" s="1"/>
      <c r="I7" s="1"/>
    </row>
    <row r="8" spans="1:9" x14ac:dyDescent="0.25">
      <c r="B8" s="1">
        <v>1</v>
      </c>
      <c r="C8" s="1" t="s">
        <v>143</v>
      </c>
      <c r="D8" s="109">
        <v>1818418</v>
      </c>
      <c r="E8" s="109">
        <v>272763</v>
      </c>
      <c r="F8" s="109">
        <v>3409534</v>
      </c>
      <c r="G8" s="109">
        <v>1818418</v>
      </c>
      <c r="H8" s="109">
        <v>272763</v>
      </c>
      <c r="I8" s="109">
        <v>3409534</v>
      </c>
    </row>
    <row r="9" spans="1:9" x14ac:dyDescent="0.25">
      <c r="B9" s="1"/>
      <c r="C9" s="1"/>
      <c r="D9" s="1"/>
      <c r="E9" s="1"/>
      <c r="F9" s="1"/>
      <c r="G9" s="1"/>
      <c r="H9" s="1"/>
      <c r="I9" s="1"/>
    </row>
    <row r="10" spans="1:9" s="52" customFormat="1" x14ac:dyDescent="0.25">
      <c r="B10" s="110"/>
      <c r="C10" s="110" t="s">
        <v>97</v>
      </c>
      <c r="D10" s="113">
        <f>SUM(D8:D9)</f>
        <v>1818418</v>
      </c>
      <c r="E10" s="113">
        <f t="shared" ref="E10:F10" si="0">SUM(E8:E9)</f>
        <v>272763</v>
      </c>
      <c r="F10" s="113">
        <f t="shared" si="0"/>
        <v>3409534</v>
      </c>
      <c r="G10" s="113">
        <f>SUM(G8:G9)</f>
        <v>1818418</v>
      </c>
      <c r="H10" s="113">
        <f t="shared" ref="H10:I10" si="1">SUM(H8:H9)</f>
        <v>272763</v>
      </c>
      <c r="I10" s="113">
        <f t="shared" si="1"/>
        <v>3409534</v>
      </c>
    </row>
    <row r="13" spans="1:9" x14ac:dyDescent="0.25">
      <c r="A13" s="163" t="s">
        <v>22</v>
      </c>
      <c r="B13" s="157" t="s">
        <v>125</v>
      </c>
    </row>
    <row r="14" spans="1:9" x14ac:dyDescent="0.25">
      <c r="A14" s="164"/>
      <c r="B14" s="158" t="s">
        <v>76</v>
      </c>
    </row>
  </sheetData>
  <mergeCells count="8">
    <mergeCell ref="B3:B5"/>
    <mergeCell ref="C3:C5"/>
    <mergeCell ref="D3:F3"/>
    <mergeCell ref="G3:I3"/>
    <mergeCell ref="E4:E5"/>
    <mergeCell ref="F4:F5"/>
    <mergeCell ref="H4:H5"/>
    <mergeCell ref="I4:I5"/>
  </mergeCells>
  <pageMargins left="0.70866141732283472" right="0.70866141732283472" top="0.74803149606299213" bottom="0.74803149606299213" header="0.31496062992125984" footer="0.31496062992125984"/>
  <pageSetup paperSize="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topLeftCell="A4" zoomScale="104" zoomScaleNormal="104" workbookViewId="0">
      <pane xSplit="2" ySplit="10" topLeftCell="C14" activePane="bottomRight" state="frozen"/>
      <selection activeCell="O25" sqref="O25"/>
      <selection pane="topRight" activeCell="O25" sqref="O25"/>
      <selection pane="bottomLeft" activeCell="O25" sqref="O25"/>
      <selection pane="bottomRight" activeCell="O25" sqref="O25"/>
    </sheetView>
  </sheetViews>
  <sheetFormatPr defaultColWidth="8.7109375" defaultRowHeight="11.25" x14ac:dyDescent="0.2"/>
  <cols>
    <col min="1" max="1" width="2.85546875" style="22" bestFit="1" customWidth="1"/>
    <col min="2" max="2" width="32" style="6" customWidth="1"/>
    <col min="3" max="3" width="19" style="6" customWidth="1"/>
    <col min="4" max="4" width="8.7109375" style="6" bestFit="1" customWidth="1"/>
    <col min="5" max="5" width="13.140625" style="6" customWidth="1"/>
    <col min="6" max="6" width="11.7109375" style="6" customWidth="1"/>
    <col min="7" max="7" width="14.7109375" style="6" customWidth="1"/>
    <col min="8" max="8" width="13.140625" style="6" hidden="1" customWidth="1"/>
    <col min="9" max="9" width="11.42578125" style="6" hidden="1" customWidth="1"/>
    <col min="10" max="10" width="11.7109375" style="6" hidden="1" customWidth="1"/>
    <col min="11" max="11" width="12" style="6" customWidth="1"/>
    <col min="12" max="12" width="11.85546875" style="6" customWidth="1"/>
    <col min="13" max="13" width="12.140625" style="6" customWidth="1"/>
    <col min="14" max="14" width="11.85546875" style="6" customWidth="1"/>
    <col min="15" max="15" width="11.85546875" style="6" bestFit="1" customWidth="1"/>
    <col min="16" max="16" width="9.5703125" style="6" bestFit="1" customWidth="1"/>
    <col min="17" max="17" width="10.5703125" style="6" bestFit="1" customWidth="1"/>
    <col min="18" max="18" width="8.7109375" style="6"/>
    <col min="19" max="19" width="9.5703125" style="6" bestFit="1" customWidth="1"/>
    <col min="20" max="20" width="8.7109375" style="6"/>
    <col min="21" max="21" width="12" style="6" bestFit="1" customWidth="1"/>
    <col min="22" max="16384" width="8.7109375" style="6"/>
  </cols>
  <sheetData>
    <row r="1" spans="1:19" x14ac:dyDescent="0.2">
      <c r="A1" s="100" t="s">
        <v>234</v>
      </c>
    </row>
    <row r="2" spans="1:19" x14ac:dyDescent="0.2">
      <c r="A2" s="100"/>
      <c r="B2" s="6" t="s">
        <v>235</v>
      </c>
    </row>
    <row r="3" spans="1:19" x14ac:dyDescent="0.2">
      <c r="A3" s="100"/>
    </row>
    <row r="4" spans="1:19" x14ac:dyDescent="0.2">
      <c r="A4" s="206"/>
      <c r="B4" s="16"/>
      <c r="C4" s="16"/>
      <c r="D4" s="260" t="s">
        <v>245</v>
      </c>
      <c r="E4" s="261"/>
      <c r="F4" s="261"/>
      <c r="G4" s="261"/>
      <c r="H4" s="261"/>
      <c r="I4" s="261"/>
      <c r="J4" s="261"/>
      <c r="K4" s="261"/>
      <c r="L4" s="261"/>
      <c r="M4" s="261"/>
      <c r="N4" s="261"/>
      <c r="O4" s="261"/>
      <c r="P4" s="261"/>
    </row>
    <row r="5" spans="1:19" x14ac:dyDescent="0.2">
      <c r="A5" s="265"/>
      <c r="B5" s="262" t="s">
        <v>19</v>
      </c>
      <c r="C5" s="16"/>
      <c r="D5" s="271" t="s">
        <v>59</v>
      </c>
      <c r="E5" s="272"/>
      <c r="F5" s="272"/>
      <c r="G5" s="272"/>
      <c r="H5" s="272"/>
      <c r="I5" s="272"/>
      <c r="J5" s="272"/>
      <c r="K5" s="272"/>
      <c r="L5" s="272"/>
      <c r="M5" s="272"/>
      <c r="N5" s="272"/>
      <c r="O5" s="272"/>
      <c r="P5" s="273"/>
    </row>
    <row r="6" spans="1:19" x14ac:dyDescent="0.2">
      <c r="A6" s="266"/>
      <c r="B6" s="263"/>
      <c r="C6" s="16" t="s">
        <v>164</v>
      </c>
      <c r="D6" s="261" t="s">
        <v>233</v>
      </c>
      <c r="E6" s="261"/>
      <c r="F6" s="261"/>
      <c r="G6" s="261"/>
      <c r="H6" s="261"/>
      <c r="I6" s="261"/>
      <c r="J6" s="261"/>
      <c r="K6" s="261" t="s">
        <v>232</v>
      </c>
      <c r="L6" s="261"/>
      <c r="M6" s="261"/>
      <c r="N6" s="261"/>
      <c r="O6" s="268" t="s">
        <v>230</v>
      </c>
      <c r="P6" s="262" t="s">
        <v>231</v>
      </c>
    </row>
    <row r="7" spans="1:19"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9"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9"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9"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9"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9" x14ac:dyDescent="0.2">
      <c r="A12" s="267"/>
      <c r="B12" s="264"/>
      <c r="C12" s="16" t="s">
        <v>244</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9"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25">
      <c r="A14" s="186">
        <v>1</v>
      </c>
      <c r="B14" s="198" t="s">
        <v>0</v>
      </c>
      <c r="C14" s="199"/>
      <c r="D14" s="199"/>
      <c r="E14" s="199"/>
      <c r="F14" s="199"/>
      <c r="G14" s="199"/>
      <c r="H14" s="199"/>
      <c r="I14" s="199"/>
      <c r="J14" s="199"/>
      <c r="K14" s="199"/>
      <c r="L14" s="199"/>
      <c r="M14" s="199"/>
      <c r="N14" s="199"/>
      <c r="O14" s="199">
        <f>4127132.797032+20191.167868+527192.259968</f>
        <v>4674516.2248679996</v>
      </c>
      <c r="P14" s="200">
        <f>SUM(D14:O14)</f>
        <v>4674516.2248679996</v>
      </c>
      <c r="Q14" s="187"/>
      <c r="R14" s="189"/>
    </row>
    <row r="15" spans="1:19" s="188" customFormat="1" x14ac:dyDescent="0.25">
      <c r="A15" s="186">
        <v>2</v>
      </c>
      <c r="B15" s="198" t="s">
        <v>1</v>
      </c>
      <c r="C15" s="199"/>
      <c r="D15" s="199">
        <v>31538.3</v>
      </c>
      <c r="E15" s="199"/>
      <c r="F15" s="199"/>
      <c r="G15" s="199"/>
      <c r="H15" s="199"/>
      <c r="I15" s="199"/>
      <c r="J15" s="199"/>
      <c r="K15" s="199"/>
      <c r="L15" s="199"/>
      <c r="M15" s="199"/>
      <c r="N15" s="199"/>
      <c r="O15" s="199">
        <f>2862.984478+1486.3535344</f>
        <v>4349.3380123999996</v>
      </c>
      <c r="P15" s="200">
        <f t="shared" ref="P15:P24" si="0">SUM(D15:O15)</f>
        <v>35887.638012399999</v>
      </c>
      <c r="Q15" s="187"/>
    </row>
    <row r="16" spans="1:19" s="120" customFormat="1" ht="23.25" thickBot="1" x14ac:dyDescent="0.3">
      <c r="A16" s="121">
        <v>3</v>
      </c>
      <c r="B16" s="201" t="s">
        <v>2</v>
      </c>
      <c r="C16" s="199"/>
      <c r="D16" s="199"/>
      <c r="E16" s="199"/>
      <c r="F16" s="199"/>
      <c r="G16" s="199"/>
      <c r="H16" s="199"/>
      <c r="I16" s="199"/>
      <c r="J16" s="199"/>
      <c r="K16" s="199"/>
      <c r="L16" s="199"/>
      <c r="M16" s="199"/>
      <c r="N16" s="199"/>
      <c r="O16" s="224">
        <v>0</v>
      </c>
      <c r="P16" s="200">
        <f t="shared" si="0"/>
        <v>0</v>
      </c>
      <c r="Q16" s="197"/>
      <c r="S16" s="183"/>
    </row>
    <row r="17" spans="1:24" s="188" customFormat="1" ht="12" thickBot="1" x14ac:dyDescent="0.3">
      <c r="A17" s="186">
        <v>4</v>
      </c>
      <c r="B17" s="198" t="s">
        <v>3</v>
      </c>
      <c r="C17" s="199"/>
      <c r="D17" s="199">
        <f>2612498.896191+241381.426136</f>
        <v>2853880.3223270001</v>
      </c>
      <c r="E17" s="199"/>
      <c r="F17" s="203">
        <v>49967.199999999997</v>
      </c>
      <c r="G17" s="199"/>
      <c r="H17" s="199"/>
      <c r="I17" s="199"/>
      <c r="J17" s="199"/>
      <c r="K17" s="199"/>
      <c r="L17" s="199"/>
      <c r="M17" s="199"/>
      <c r="N17" s="199"/>
      <c r="O17" s="199">
        <f>350.027683+55255.147341</f>
        <v>55605.175024000004</v>
      </c>
      <c r="P17" s="204">
        <f>SUM(D17:O17)</f>
        <v>2959452.6973510003</v>
      </c>
      <c r="Q17" s="192"/>
      <c r="R17" s="193"/>
      <c r="S17" s="190"/>
      <c r="T17" s="189"/>
    </row>
    <row r="18" spans="1:24" s="120" customFormat="1" x14ac:dyDescent="0.25">
      <c r="A18" s="121">
        <v>5</v>
      </c>
      <c r="B18" s="198" t="s">
        <v>4</v>
      </c>
      <c r="C18" s="199"/>
      <c r="D18" s="199"/>
      <c r="E18" s="199"/>
      <c r="F18" s="199"/>
      <c r="G18" s="199"/>
      <c r="H18" s="199"/>
      <c r="I18" s="199"/>
      <c r="J18" s="199"/>
      <c r="K18" s="199"/>
      <c r="L18" s="199"/>
      <c r="M18" s="199"/>
      <c r="N18" s="199"/>
      <c r="O18" s="199">
        <f>41143.198361+57211.192784+463108.966456</f>
        <v>561463.357601</v>
      </c>
      <c r="P18" s="200">
        <f t="shared" si="0"/>
        <v>561463.357601</v>
      </c>
      <c r="Q18" s="132"/>
      <c r="S18" s="183"/>
    </row>
    <row r="19" spans="1:24" s="120" customFormat="1" x14ac:dyDescent="0.25">
      <c r="A19" s="121">
        <v>6</v>
      </c>
      <c r="B19" s="198" t="s">
        <v>5</v>
      </c>
      <c r="C19" s="199"/>
      <c r="D19" s="199"/>
      <c r="E19" s="199"/>
      <c r="F19" s="199"/>
      <c r="G19" s="199"/>
      <c r="H19" s="199"/>
      <c r="I19" s="199"/>
      <c r="J19" s="199"/>
      <c r="K19" s="199"/>
      <c r="L19" s="199"/>
      <c r="M19" s="199"/>
      <c r="N19" s="199"/>
      <c r="O19" s="202">
        <v>118689.607485</v>
      </c>
      <c r="P19" s="200">
        <f t="shared" si="0"/>
        <v>118689.607485</v>
      </c>
      <c r="Q19" s="132"/>
    </row>
    <row r="20" spans="1:24" s="120" customFormat="1" x14ac:dyDescent="0.25">
      <c r="A20" s="121">
        <v>7</v>
      </c>
      <c r="B20" s="198" t="s">
        <v>6</v>
      </c>
      <c r="C20" s="199"/>
      <c r="D20" s="199"/>
      <c r="E20" s="199"/>
      <c r="F20" s="199"/>
      <c r="G20" s="199"/>
      <c r="H20" s="199"/>
      <c r="I20" s="199"/>
      <c r="J20" s="199"/>
      <c r="K20" s="199"/>
      <c r="L20" s="199"/>
      <c r="M20" s="199"/>
      <c r="N20" s="199"/>
      <c r="O20" s="199">
        <v>11336115.629386</v>
      </c>
      <c r="P20" s="200">
        <f t="shared" si="0"/>
        <v>11336115.629386</v>
      </c>
      <c r="Q20" s="132"/>
    </row>
    <row r="21" spans="1:24" s="120" customFormat="1" ht="22.5" x14ac:dyDescent="0.2">
      <c r="A21" s="121">
        <v>8</v>
      </c>
      <c r="B21" s="201" t="s">
        <v>7</v>
      </c>
      <c r="C21" s="199"/>
      <c r="D21" s="199"/>
      <c r="E21" s="199"/>
      <c r="F21" s="199"/>
      <c r="G21" s="199"/>
      <c r="H21" s="199"/>
      <c r="I21" s="199"/>
      <c r="J21" s="199"/>
      <c r="K21" s="199"/>
      <c r="L21" s="199"/>
      <c r="M21" s="199"/>
      <c r="N21" s="199"/>
      <c r="O21" s="199">
        <f>928462.769022+45777.9694733</f>
        <v>974240.73849530006</v>
      </c>
      <c r="P21" s="200">
        <f t="shared" si="0"/>
        <v>974240.73849530006</v>
      </c>
      <c r="Q21" s="195"/>
      <c r="S21" s="196"/>
    </row>
    <row r="22" spans="1:24" s="188" customFormat="1" x14ac:dyDescent="0.2">
      <c r="A22" s="186">
        <v>9</v>
      </c>
      <c r="B22" s="198" t="s">
        <v>8</v>
      </c>
      <c r="C22" s="199"/>
      <c r="D22" s="202">
        <v>22650.05875</v>
      </c>
      <c r="E22" s="199"/>
      <c r="F22" s="199">
        <v>137010.5</v>
      </c>
      <c r="G22" s="199"/>
      <c r="H22" s="199"/>
      <c r="I22" s="199"/>
      <c r="J22" s="199"/>
      <c r="K22" s="199"/>
      <c r="L22" s="199"/>
      <c r="M22" s="199"/>
      <c r="N22" s="199"/>
      <c r="O22" s="199">
        <f>4116750.341778+171304.2529244</f>
        <v>4288054.5947024003</v>
      </c>
      <c r="P22" s="200">
        <f>SUM(D22:O22)</f>
        <v>4447715.1534524001</v>
      </c>
      <c r="Q22" s="194"/>
      <c r="R22" s="192"/>
      <c r="S22" s="193"/>
      <c r="T22" s="189"/>
    </row>
    <row r="23" spans="1:24" s="120" customFormat="1" x14ac:dyDescent="0.2">
      <c r="A23" s="121">
        <v>10</v>
      </c>
      <c r="B23" s="131" t="s">
        <v>9</v>
      </c>
      <c r="C23" s="124"/>
      <c r="D23" s="124"/>
      <c r="E23" s="124"/>
      <c r="F23" s="124"/>
      <c r="G23" s="124"/>
      <c r="H23" s="124"/>
      <c r="I23" s="124"/>
      <c r="J23" s="124"/>
      <c r="K23" s="124"/>
      <c r="L23" s="124"/>
      <c r="M23" s="124"/>
      <c r="N23" s="124"/>
      <c r="O23" s="124">
        <f>18707.090741+224669.220971+5276.782588</f>
        <v>248653.0943</v>
      </c>
      <c r="P23" s="191">
        <f t="shared" si="0"/>
        <v>248653.0943</v>
      </c>
      <c r="Q23" s="65"/>
      <c r="T23" s="133"/>
    </row>
    <row r="24" spans="1:24" s="120" customFormat="1" x14ac:dyDescent="0.2">
      <c r="A24" s="121">
        <v>11</v>
      </c>
      <c r="B24" s="131" t="s">
        <v>10</v>
      </c>
      <c r="C24" s="124"/>
      <c r="D24" s="124"/>
      <c r="E24" s="124"/>
      <c r="F24" s="124"/>
      <c r="G24" s="124"/>
      <c r="H24" s="124"/>
      <c r="I24" s="124"/>
      <c r="J24" s="124"/>
      <c r="K24" s="124"/>
      <c r="L24" s="124"/>
      <c r="M24" s="124"/>
      <c r="N24" s="124"/>
      <c r="O24" s="124">
        <v>2331520.313999</v>
      </c>
      <c r="P24" s="191">
        <f t="shared" si="0"/>
        <v>2331520.313999</v>
      </c>
      <c r="Q24" s="65"/>
    </row>
    <row r="25" spans="1:24" s="123" customFormat="1" x14ac:dyDescent="0.2">
      <c r="A25" s="10"/>
      <c r="B25" s="10" t="s">
        <v>97</v>
      </c>
      <c r="C25" s="125"/>
      <c r="D25" s="125">
        <f>SUM(D14:D24)</f>
        <v>2908068.6810769998</v>
      </c>
      <c r="E25" s="125">
        <f t="shared" ref="E25:N25" si="1">SUM(E14:E24)</f>
        <v>0</v>
      </c>
      <c r="F25" s="125">
        <f>SUM(F14:F24)</f>
        <v>186977.7</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24593208.073873099</v>
      </c>
      <c r="P25" s="26">
        <f>SUM(D25:O25)</f>
        <v>27688254.454950098</v>
      </c>
      <c r="Q25" s="119" t="s">
        <v>246</v>
      </c>
      <c r="R25" s="126"/>
    </row>
    <row r="26" spans="1:24" x14ac:dyDescent="0.2">
      <c r="P26" s="221">
        <v>27688254.454950102</v>
      </c>
      <c r="Q26" s="185">
        <f>P25-P26</f>
        <v>0</v>
      </c>
      <c r="U26" s="184"/>
      <c r="V26" s="184"/>
    </row>
    <row r="27" spans="1:24" x14ac:dyDescent="0.2">
      <c r="U27" s="205"/>
      <c r="V27" s="205"/>
    </row>
    <row r="28" spans="1:24" x14ac:dyDescent="0.2">
      <c r="A28" s="206"/>
      <c r="B28" s="16"/>
      <c r="C28" s="16"/>
      <c r="D28" s="260" t="s">
        <v>243</v>
      </c>
      <c r="E28" s="261"/>
      <c r="F28" s="261"/>
      <c r="G28" s="261"/>
      <c r="H28" s="261"/>
      <c r="I28" s="261"/>
      <c r="J28" s="261"/>
      <c r="K28" s="261"/>
      <c r="L28" s="261"/>
      <c r="M28" s="261"/>
      <c r="N28" s="261"/>
      <c r="O28" s="261"/>
      <c r="P28" s="261"/>
      <c r="U28" s="184"/>
    </row>
    <row r="29" spans="1:24" x14ac:dyDescent="0.2">
      <c r="A29" s="265"/>
      <c r="B29" s="262" t="s">
        <v>19</v>
      </c>
      <c r="C29" s="16"/>
      <c r="D29" s="261" t="s">
        <v>59</v>
      </c>
      <c r="E29" s="261"/>
      <c r="F29" s="261"/>
      <c r="G29" s="261"/>
      <c r="H29" s="261"/>
      <c r="I29" s="261"/>
      <c r="J29" s="261"/>
      <c r="K29" s="261"/>
      <c r="L29" s="261"/>
      <c r="M29" s="261"/>
      <c r="N29" s="261"/>
      <c r="O29" s="261"/>
      <c r="P29" s="261"/>
      <c r="R29" s="184"/>
      <c r="U29" s="209"/>
      <c r="X29" s="184"/>
    </row>
    <row r="30" spans="1:24" x14ac:dyDescent="0.2">
      <c r="A30" s="266"/>
      <c r="B30" s="263"/>
      <c r="C30" s="16" t="s">
        <v>164</v>
      </c>
      <c r="D30" s="261" t="s">
        <v>233</v>
      </c>
      <c r="E30" s="261"/>
      <c r="F30" s="261"/>
      <c r="G30" s="261"/>
      <c r="H30" s="261"/>
      <c r="I30" s="261"/>
      <c r="J30" s="261"/>
      <c r="K30" s="261" t="s">
        <v>232</v>
      </c>
      <c r="L30" s="261"/>
      <c r="M30" s="261"/>
      <c r="N30" s="261"/>
      <c r="O30" s="268" t="s">
        <v>230</v>
      </c>
      <c r="P30" s="262" t="s">
        <v>231</v>
      </c>
      <c r="R30" s="184"/>
    </row>
    <row r="31" spans="1:24" x14ac:dyDescent="0.2">
      <c r="A31" s="266"/>
      <c r="B31" s="263"/>
      <c r="C31" s="16" t="s">
        <v>167</v>
      </c>
      <c r="D31" s="16" t="s">
        <v>166</v>
      </c>
      <c r="E31" s="16" t="s">
        <v>168</v>
      </c>
      <c r="F31" s="16" t="s">
        <v>169</v>
      </c>
      <c r="G31" s="16" t="s">
        <v>170</v>
      </c>
      <c r="H31" s="16" t="s">
        <v>171</v>
      </c>
      <c r="I31" s="16" t="s">
        <v>172</v>
      </c>
      <c r="J31" s="16" t="s">
        <v>173</v>
      </c>
      <c r="K31" s="16" t="s">
        <v>174</v>
      </c>
      <c r="L31" s="16" t="s">
        <v>175</v>
      </c>
      <c r="M31" s="16" t="s">
        <v>176</v>
      </c>
      <c r="N31" s="16" t="s">
        <v>177</v>
      </c>
      <c r="O31" s="269"/>
      <c r="P31" s="263"/>
      <c r="R31" s="185"/>
    </row>
    <row r="32" spans="1:24" x14ac:dyDescent="0.2">
      <c r="A32" s="266"/>
      <c r="B32" s="263"/>
      <c r="C32" s="16" t="s">
        <v>165</v>
      </c>
      <c r="D32" s="16" t="s">
        <v>166</v>
      </c>
      <c r="E32" s="16" t="s">
        <v>168</v>
      </c>
      <c r="F32" s="16" t="s">
        <v>169</v>
      </c>
      <c r="G32" s="16" t="s">
        <v>170</v>
      </c>
      <c r="H32" s="16" t="s">
        <v>171</v>
      </c>
      <c r="I32" s="16" t="s">
        <v>172</v>
      </c>
      <c r="J32" s="16" t="s">
        <v>173</v>
      </c>
      <c r="K32" s="16" t="s">
        <v>178</v>
      </c>
      <c r="L32" s="16" t="s">
        <v>179</v>
      </c>
      <c r="M32" s="16" t="s">
        <v>180</v>
      </c>
      <c r="N32" s="16" t="s">
        <v>181</v>
      </c>
      <c r="O32" s="269"/>
      <c r="P32" s="263"/>
    </row>
    <row r="33" spans="1:17" x14ac:dyDescent="0.2">
      <c r="A33" s="266"/>
      <c r="B33" s="263"/>
      <c r="C33" s="16" t="s">
        <v>182</v>
      </c>
      <c r="D33" s="16" t="s">
        <v>183</v>
      </c>
      <c r="E33" s="16" t="s">
        <v>184</v>
      </c>
      <c r="F33" s="16" t="s">
        <v>185</v>
      </c>
      <c r="G33" s="16" t="s">
        <v>186</v>
      </c>
      <c r="H33" s="16" t="s">
        <v>187</v>
      </c>
      <c r="I33" s="16" t="s">
        <v>188</v>
      </c>
      <c r="J33" s="16" t="s">
        <v>189</v>
      </c>
      <c r="K33" s="16" t="s">
        <v>190</v>
      </c>
      <c r="L33" s="16" t="s">
        <v>191</v>
      </c>
      <c r="M33" s="16" t="s">
        <v>192</v>
      </c>
      <c r="N33" s="16" t="s">
        <v>193</v>
      </c>
      <c r="O33" s="269"/>
      <c r="P33" s="263"/>
    </row>
    <row r="34" spans="1:17" x14ac:dyDescent="0.2">
      <c r="A34" s="266"/>
      <c r="B34" s="263"/>
      <c r="C34" s="16" t="s">
        <v>194</v>
      </c>
      <c r="D34" s="16" t="s">
        <v>195</v>
      </c>
      <c r="E34" s="16" t="s">
        <v>196</v>
      </c>
      <c r="F34" s="16" t="s">
        <v>197</v>
      </c>
      <c r="G34" s="16" t="s">
        <v>198</v>
      </c>
      <c r="H34" s="16" t="s">
        <v>199</v>
      </c>
      <c r="I34" s="16" t="s">
        <v>200</v>
      </c>
      <c r="J34" s="16" t="s">
        <v>201</v>
      </c>
      <c r="K34" s="16" t="s">
        <v>202</v>
      </c>
      <c r="L34" s="16" t="s">
        <v>203</v>
      </c>
      <c r="M34" s="16" t="s">
        <v>204</v>
      </c>
      <c r="N34" s="16" t="s">
        <v>205</v>
      </c>
      <c r="O34" s="269"/>
      <c r="P34" s="263"/>
    </row>
    <row r="35" spans="1:17" x14ac:dyDescent="0.2">
      <c r="A35" s="266"/>
      <c r="B35" s="263"/>
      <c r="C35" s="16" t="s">
        <v>206</v>
      </c>
      <c r="D35" s="16" t="s">
        <v>207</v>
      </c>
      <c r="E35" s="16" t="s">
        <v>208</v>
      </c>
      <c r="F35" s="16" t="s">
        <v>209</v>
      </c>
      <c r="G35" s="16" t="s">
        <v>210</v>
      </c>
      <c r="H35" s="16" t="s">
        <v>211</v>
      </c>
      <c r="I35" s="16" t="s">
        <v>212</v>
      </c>
      <c r="J35" s="16" t="s">
        <v>213</v>
      </c>
      <c r="K35" s="16" t="s">
        <v>214</v>
      </c>
      <c r="L35" s="16" t="s">
        <v>215</v>
      </c>
      <c r="M35" s="16" t="s">
        <v>216</v>
      </c>
      <c r="N35" s="16" t="s">
        <v>217</v>
      </c>
      <c r="O35" s="269"/>
      <c r="P35" s="263"/>
    </row>
    <row r="36" spans="1:17" x14ac:dyDescent="0.2">
      <c r="A36" s="267"/>
      <c r="B36" s="264"/>
      <c r="C36" s="16" t="s">
        <v>218</v>
      </c>
      <c r="D36" s="16" t="s">
        <v>219</v>
      </c>
      <c r="E36" s="16" t="s">
        <v>220</v>
      </c>
      <c r="F36" s="16" t="s">
        <v>221</v>
      </c>
      <c r="G36" s="16" t="s">
        <v>222</v>
      </c>
      <c r="H36" s="16" t="s">
        <v>223</v>
      </c>
      <c r="I36" s="16" t="s">
        <v>224</v>
      </c>
      <c r="J36" s="16" t="s">
        <v>225</v>
      </c>
      <c r="K36" s="16" t="s">
        <v>226</v>
      </c>
      <c r="L36" s="16" t="s">
        <v>227</v>
      </c>
      <c r="M36" s="16" t="s">
        <v>228</v>
      </c>
      <c r="N36" s="16" t="s">
        <v>229</v>
      </c>
      <c r="O36" s="270"/>
      <c r="P36" s="264"/>
    </row>
    <row r="37" spans="1:17" x14ac:dyDescent="0.2">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
      <c r="A38" s="206">
        <v>1</v>
      </c>
      <c r="B38" s="17" t="s">
        <v>0</v>
      </c>
      <c r="C38" s="24"/>
      <c r="D38" s="199">
        <v>24432.108052</v>
      </c>
      <c r="E38" s="199"/>
      <c r="F38" s="199"/>
      <c r="G38" s="199"/>
      <c r="H38" s="199"/>
      <c r="I38" s="199"/>
      <c r="J38" s="199"/>
      <c r="K38" s="199"/>
      <c r="L38" s="199"/>
      <c r="M38" s="199"/>
      <c r="N38" s="199"/>
      <c r="O38" s="199">
        <f>59420.780543+1403115.481805+3175619.801613+250000+32.6115886+478576.9</f>
        <v>5366765.5755496006</v>
      </c>
      <c r="P38" s="200">
        <f>SUM(D38:O38)</f>
        <v>5391197.683601601</v>
      </c>
    </row>
    <row r="39" spans="1:17" x14ac:dyDescent="0.2">
      <c r="A39" s="206">
        <v>2</v>
      </c>
      <c r="B39" s="17" t="s">
        <v>1</v>
      </c>
      <c r="C39" s="24"/>
      <c r="D39" s="199">
        <v>43992.41</v>
      </c>
      <c r="E39" s="199"/>
      <c r="F39" s="199">
        <v>19735.2</v>
      </c>
      <c r="G39" s="199"/>
      <c r="H39" s="199"/>
      <c r="I39" s="199"/>
      <c r="J39" s="199"/>
      <c r="K39" s="199"/>
      <c r="L39" s="199"/>
      <c r="M39" s="199"/>
      <c r="N39" s="199"/>
      <c r="O39" s="199">
        <f>1178.324932+4740.2160275</f>
        <v>5918.5409595000001</v>
      </c>
      <c r="P39" s="200">
        <f t="shared" ref="P39:P40" si="2">SUM(D39:O39)</f>
        <v>69646.150959499995</v>
      </c>
    </row>
    <row r="40" spans="1:17" ht="23.25" thickBot="1" x14ac:dyDescent="0.25">
      <c r="A40" s="121">
        <v>3</v>
      </c>
      <c r="B40" s="122" t="s">
        <v>2</v>
      </c>
      <c r="C40" s="124"/>
      <c r="D40" s="199"/>
      <c r="E40" s="199"/>
      <c r="F40" s="199"/>
      <c r="G40" s="199"/>
      <c r="H40" s="199"/>
      <c r="I40" s="199"/>
      <c r="J40" s="199"/>
      <c r="K40" s="199"/>
      <c r="L40" s="199"/>
      <c r="M40" s="199"/>
      <c r="N40" s="199"/>
      <c r="O40" s="202">
        <v>463.74705499999999</v>
      </c>
      <c r="P40" s="200">
        <f t="shared" si="2"/>
        <v>463.74705499999999</v>
      </c>
    </row>
    <row r="41" spans="1:17" ht="12" thickBot="1" x14ac:dyDescent="0.25">
      <c r="A41" s="206">
        <v>4</v>
      </c>
      <c r="B41" s="17" t="s">
        <v>3</v>
      </c>
      <c r="C41" s="24"/>
      <c r="D41" s="199">
        <f>49836.5+34237.104074+1995096.346284</f>
        <v>2079169.9503579999</v>
      </c>
      <c r="E41" s="199">
        <f>108449.976002+6.829877+858507.320261</f>
        <v>966964.12613999995</v>
      </c>
      <c r="F41" s="203">
        <f>91836.5+13715.513406</f>
        <v>105552.013406</v>
      </c>
      <c r="G41" s="199"/>
      <c r="H41" s="199"/>
      <c r="I41" s="199"/>
      <c r="J41" s="199"/>
      <c r="K41" s="199"/>
      <c r="L41" s="199"/>
      <c r="M41" s="199"/>
      <c r="N41" s="199"/>
      <c r="O41" s="199">
        <f>58435.078011+14.594819+721.378741+50161.4136189999+140000+89.3575168+37666.798882</f>
        <v>287088.62158879987</v>
      </c>
      <c r="P41" s="204">
        <f>SUM(D41:O41)</f>
        <v>3438774.7114928002</v>
      </c>
      <c r="Q41" s="119"/>
    </row>
    <row r="42" spans="1:17" x14ac:dyDescent="0.2">
      <c r="A42" s="206">
        <v>5</v>
      </c>
      <c r="B42" s="17" t="s">
        <v>4</v>
      </c>
      <c r="C42" s="24"/>
      <c r="D42" s="199"/>
      <c r="E42" s="199"/>
      <c r="F42" s="199"/>
      <c r="G42" s="199"/>
      <c r="H42" s="199"/>
      <c r="I42" s="199"/>
      <c r="J42" s="199"/>
      <c r="K42" s="199"/>
      <c r="L42" s="199"/>
      <c r="M42" s="199"/>
      <c r="N42" s="199"/>
      <c r="O42" s="199">
        <f>371291.104664+28.4766975</f>
        <v>371319.58136149996</v>
      </c>
      <c r="P42" s="200">
        <f t="shared" ref="P42:P48" si="3">SUM(D42:O42)</f>
        <v>371319.58136149996</v>
      </c>
    </row>
    <row r="43" spans="1:17" x14ac:dyDescent="0.2">
      <c r="A43" s="206">
        <v>6</v>
      </c>
      <c r="B43" s="17" t="s">
        <v>5</v>
      </c>
      <c r="C43" s="24"/>
      <c r="D43" s="199"/>
      <c r="E43" s="199"/>
      <c r="F43" s="199"/>
      <c r="G43" s="199"/>
      <c r="H43" s="199"/>
      <c r="I43" s="199"/>
      <c r="J43" s="199"/>
      <c r="K43" s="199"/>
      <c r="L43" s="199"/>
      <c r="M43" s="199"/>
      <c r="N43" s="199"/>
      <c r="O43" s="202">
        <f>106468.491033+1428.027581</f>
        <v>107896.518614</v>
      </c>
      <c r="P43" s="200">
        <f t="shared" si="3"/>
        <v>107896.518614</v>
      </c>
    </row>
    <row r="44" spans="1:17" x14ac:dyDescent="0.2">
      <c r="A44" s="206">
        <v>7</v>
      </c>
      <c r="B44" s="17" t="s">
        <v>6</v>
      </c>
      <c r="C44" s="24"/>
      <c r="D44" s="199"/>
      <c r="E44" s="199"/>
      <c r="F44" s="199"/>
      <c r="G44" s="199"/>
      <c r="H44" s="199"/>
      <c r="I44" s="199"/>
      <c r="J44" s="199"/>
      <c r="K44" s="199"/>
      <c r="L44" s="199"/>
      <c r="M44" s="199"/>
      <c r="N44" s="199"/>
      <c r="O44" s="199">
        <f>10707318.12713+1.316815</f>
        <v>10707319.443945</v>
      </c>
      <c r="P44" s="200">
        <f t="shared" si="3"/>
        <v>10707319.443945</v>
      </c>
    </row>
    <row r="45" spans="1:17" ht="22.5" x14ac:dyDescent="0.2">
      <c r="A45" s="121">
        <v>8</v>
      </c>
      <c r="B45" s="122" t="s">
        <v>7</v>
      </c>
      <c r="C45" s="124"/>
      <c r="D45" s="199"/>
      <c r="E45" s="199"/>
      <c r="F45" s="199"/>
      <c r="G45" s="199"/>
      <c r="H45" s="199"/>
      <c r="I45" s="199"/>
      <c r="J45" s="199"/>
      <c r="K45" s="199"/>
      <c r="L45" s="199"/>
      <c r="M45" s="199"/>
      <c r="N45" s="199"/>
      <c r="O45" s="199">
        <f>1047830.090904+68655.0388</f>
        <v>1116485.129704</v>
      </c>
      <c r="P45" s="200">
        <f t="shared" si="3"/>
        <v>1116485.129704</v>
      </c>
    </row>
    <row r="46" spans="1:17" x14ac:dyDescent="0.2">
      <c r="A46" s="206">
        <v>9</v>
      </c>
      <c r="B46" s="17" t="s">
        <v>8</v>
      </c>
      <c r="C46" s="24"/>
      <c r="D46" s="202">
        <v>20000</v>
      </c>
      <c r="E46" s="199"/>
      <c r="F46" s="199">
        <v>50000</v>
      </c>
      <c r="G46" s="199"/>
      <c r="H46" s="199"/>
      <c r="I46" s="199"/>
      <c r="J46" s="199"/>
      <c r="K46" s="199"/>
      <c r="L46" s="199"/>
      <c r="M46" s="199"/>
      <c r="N46" s="199"/>
      <c r="O46" s="199">
        <f>680307.473723+1740649.83694+520401.047710209</f>
        <v>2941358.3583732094</v>
      </c>
      <c r="P46" s="200">
        <f t="shared" si="3"/>
        <v>3011358.3583732094</v>
      </c>
    </row>
    <row r="47" spans="1:17" x14ac:dyDescent="0.2">
      <c r="A47" s="206">
        <v>10</v>
      </c>
      <c r="B47" s="17" t="s">
        <v>9</v>
      </c>
      <c r="C47" s="24"/>
      <c r="D47" s="124"/>
      <c r="E47" s="124"/>
      <c r="F47" s="124"/>
      <c r="G47" s="124"/>
      <c r="H47" s="124"/>
      <c r="I47" s="124"/>
      <c r="J47" s="124"/>
      <c r="K47" s="124"/>
      <c r="L47" s="124"/>
      <c r="M47" s="124"/>
      <c r="N47" s="124"/>
      <c r="O47" s="124">
        <f>308025.473201+9034.4078355</f>
        <v>317059.88103650004</v>
      </c>
      <c r="P47" s="191">
        <f t="shared" si="3"/>
        <v>317059.88103650004</v>
      </c>
    </row>
    <row r="48" spans="1:17" x14ac:dyDescent="0.2">
      <c r="A48" s="206">
        <v>11</v>
      </c>
      <c r="B48" s="17" t="s">
        <v>10</v>
      </c>
      <c r="C48" s="24"/>
      <c r="D48" s="124"/>
      <c r="E48" s="124"/>
      <c r="F48" s="124"/>
      <c r="G48" s="124"/>
      <c r="H48" s="124"/>
      <c r="I48" s="124"/>
      <c r="J48" s="124"/>
      <c r="K48" s="124"/>
      <c r="L48" s="124"/>
      <c r="M48" s="124"/>
      <c r="N48" s="124"/>
      <c r="O48" s="124">
        <v>2273809.9476290001</v>
      </c>
      <c r="P48" s="191">
        <f t="shared" si="3"/>
        <v>2273809.9476290001</v>
      </c>
    </row>
    <row r="49" spans="1:16" x14ac:dyDescent="0.2">
      <c r="A49" s="10"/>
      <c r="B49" s="10" t="s">
        <v>97</v>
      </c>
      <c r="C49" s="125"/>
      <c r="D49" s="125">
        <f>SUM(D38:D48)</f>
        <v>2167594.4684099997</v>
      </c>
      <c r="E49" s="125">
        <f t="shared" ref="E49" si="4">SUM(E38:E48)</f>
        <v>966964.12613999995</v>
      </c>
      <c r="F49" s="125">
        <f>SUM(F38:F48)</f>
        <v>175287.213406</v>
      </c>
      <c r="G49" s="125">
        <f t="shared" ref="G49:N49" si="5">SUM(G38:G48)</f>
        <v>0</v>
      </c>
      <c r="H49" s="125">
        <f t="shared" si="5"/>
        <v>0</v>
      </c>
      <c r="I49" s="125">
        <f t="shared" si="5"/>
        <v>0</v>
      </c>
      <c r="J49" s="125">
        <f t="shared" si="5"/>
        <v>0</v>
      </c>
      <c r="K49" s="125">
        <f t="shared" si="5"/>
        <v>0</v>
      </c>
      <c r="L49" s="125">
        <f t="shared" si="5"/>
        <v>0</v>
      </c>
      <c r="M49" s="125">
        <f t="shared" si="5"/>
        <v>0</v>
      </c>
      <c r="N49" s="125">
        <f t="shared" si="5"/>
        <v>0</v>
      </c>
      <c r="O49" s="125">
        <f>SUM(O38:O48)</f>
        <v>23495485.345816109</v>
      </c>
      <c r="P49" s="26">
        <f>SUM(D49:O49)</f>
        <v>26805331.153772108</v>
      </c>
    </row>
    <row r="52" spans="1:16" x14ac:dyDescent="0.2">
      <c r="A52" s="6" t="s">
        <v>236</v>
      </c>
    </row>
    <row r="53" spans="1:16" x14ac:dyDescent="0.2">
      <c r="A53" s="8" t="s">
        <v>237</v>
      </c>
    </row>
  </sheetData>
  <mergeCells count="16">
    <mergeCell ref="D28:P28"/>
    <mergeCell ref="A29:A36"/>
    <mergeCell ref="B29:B36"/>
    <mergeCell ref="D29:P29"/>
    <mergeCell ref="D30:J30"/>
    <mergeCell ref="K30:N30"/>
    <mergeCell ref="O30:O36"/>
    <mergeCell ref="P30:P36"/>
    <mergeCell ref="D4:P4"/>
    <mergeCell ref="A5:A12"/>
    <mergeCell ref="B5:B12"/>
    <mergeCell ref="D5:P5"/>
    <mergeCell ref="D6:J6"/>
    <mergeCell ref="K6:N6"/>
    <mergeCell ref="O6:O12"/>
    <mergeCell ref="P6:P12"/>
  </mergeCells>
  <pageMargins left="0.70866141732283472" right="0.70866141732283472" top="0.74803149606299213" bottom="0.74803149606299213" header="0.31496062992125984" footer="0.31496062992125984"/>
  <pageSetup paperSize="5" scale="70" orientation="landscape"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topLeftCell="A4" zoomScale="104" zoomScaleNormal="104" workbookViewId="0">
      <pane xSplit="2" ySplit="10" topLeftCell="C17" activePane="bottomRight" state="frozen"/>
      <selection activeCell="O25" sqref="O25"/>
      <selection pane="topRight" activeCell="O25" sqref="O25"/>
      <selection pane="bottomLeft" activeCell="O25" sqref="O25"/>
      <selection pane="bottomRight" activeCell="O25" sqref="O25"/>
    </sheetView>
  </sheetViews>
  <sheetFormatPr defaultColWidth="8.7109375" defaultRowHeight="11.25" x14ac:dyDescent="0.2"/>
  <cols>
    <col min="1" max="1" width="2.85546875" style="22" bestFit="1" customWidth="1"/>
    <col min="2" max="2" width="32" style="6" customWidth="1"/>
    <col min="3" max="3" width="19" style="6" customWidth="1"/>
    <col min="4" max="4" width="8.7109375" style="6" bestFit="1" customWidth="1"/>
    <col min="5" max="5" width="13.140625" style="6" customWidth="1"/>
    <col min="6" max="6" width="11.7109375" style="6" customWidth="1"/>
    <col min="7" max="7" width="14.7109375" style="6" customWidth="1"/>
    <col min="8" max="8" width="13.140625" style="6" hidden="1" customWidth="1"/>
    <col min="9" max="9" width="11.42578125" style="6" hidden="1" customWidth="1"/>
    <col min="10" max="10" width="11.7109375" style="6" hidden="1" customWidth="1"/>
    <col min="11" max="11" width="12" style="6" customWidth="1"/>
    <col min="12" max="12" width="11.85546875" style="6" customWidth="1"/>
    <col min="13" max="13" width="12.140625" style="6" customWidth="1"/>
    <col min="14" max="14" width="11.85546875" style="6" customWidth="1"/>
    <col min="15" max="15" width="11.85546875" style="6" bestFit="1" customWidth="1"/>
    <col min="16" max="16" width="9.5703125" style="6" bestFit="1" customWidth="1"/>
    <col min="17" max="17" width="10.5703125" style="6" bestFit="1" customWidth="1"/>
    <col min="18" max="19" width="9.5703125" style="6" bestFit="1" customWidth="1"/>
    <col min="20" max="20" width="8.7109375" style="6"/>
    <col min="21" max="21" width="12" style="6" bestFit="1" customWidth="1"/>
    <col min="22" max="16384" width="8.7109375" style="6"/>
  </cols>
  <sheetData>
    <row r="1" spans="1:19" x14ac:dyDescent="0.2">
      <c r="A1" s="100" t="s">
        <v>234</v>
      </c>
    </row>
    <row r="2" spans="1:19" x14ac:dyDescent="0.2">
      <c r="A2" s="100"/>
      <c r="B2" s="6" t="s">
        <v>235</v>
      </c>
    </row>
    <row r="3" spans="1:19" x14ac:dyDescent="0.2">
      <c r="A3" s="100"/>
    </row>
    <row r="4" spans="1:19" x14ac:dyDescent="0.2">
      <c r="A4" s="225"/>
      <c r="B4" s="16"/>
      <c r="C4" s="16"/>
      <c r="D4" s="260" t="s">
        <v>247</v>
      </c>
      <c r="E4" s="261"/>
      <c r="F4" s="261"/>
      <c r="G4" s="261"/>
      <c r="H4" s="261"/>
      <c r="I4" s="261"/>
      <c r="J4" s="261"/>
      <c r="K4" s="261"/>
      <c r="L4" s="261"/>
      <c r="M4" s="261"/>
      <c r="N4" s="261"/>
      <c r="O4" s="261"/>
      <c r="P4" s="261"/>
    </row>
    <row r="5" spans="1:19" x14ac:dyDescent="0.2">
      <c r="A5" s="265"/>
      <c r="B5" s="262" t="s">
        <v>19</v>
      </c>
      <c r="C5" s="16"/>
      <c r="D5" s="271" t="s">
        <v>59</v>
      </c>
      <c r="E5" s="272"/>
      <c r="F5" s="272"/>
      <c r="G5" s="272"/>
      <c r="H5" s="272"/>
      <c r="I5" s="272"/>
      <c r="J5" s="272"/>
      <c r="K5" s="272"/>
      <c r="L5" s="272"/>
      <c r="M5" s="272"/>
      <c r="N5" s="272"/>
      <c r="O5" s="272"/>
      <c r="P5" s="273"/>
    </row>
    <row r="6" spans="1:19" x14ac:dyDescent="0.2">
      <c r="A6" s="266"/>
      <c r="B6" s="263"/>
      <c r="C6" s="16" t="s">
        <v>164</v>
      </c>
      <c r="D6" s="261" t="s">
        <v>233</v>
      </c>
      <c r="E6" s="261"/>
      <c r="F6" s="261"/>
      <c r="G6" s="261"/>
      <c r="H6" s="261"/>
      <c r="I6" s="261"/>
      <c r="J6" s="261"/>
      <c r="K6" s="261" t="s">
        <v>232</v>
      </c>
      <c r="L6" s="261"/>
      <c r="M6" s="261"/>
      <c r="N6" s="261"/>
      <c r="O6" s="268" t="s">
        <v>230</v>
      </c>
      <c r="P6" s="262" t="s">
        <v>231</v>
      </c>
    </row>
    <row r="7" spans="1:19"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9"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9"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9"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9"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9" x14ac:dyDescent="0.2">
      <c r="A12" s="267"/>
      <c r="B12" s="264"/>
      <c r="C12" s="16" t="s">
        <v>244</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9"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25">
      <c r="A14" s="186">
        <v>1</v>
      </c>
      <c r="B14" s="198" t="s">
        <v>0</v>
      </c>
      <c r="C14" s="199"/>
      <c r="D14" s="199"/>
      <c r="E14" s="199"/>
      <c r="F14" s="199"/>
      <c r="G14" s="199"/>
      <c r="H14" s="199"/>
      <c r="I14" s="199"/>
      <c r="J14" s="199"/>
      <c r="K14" s="199"/>
      <c r="L14" s="199"/>
      <c r="M14" s="199"/>
      <c r="N14" s="199"/>
      <c r="O14" s="199">
        <f>5103844.138409+23850.9069212+615949.236287</f>
        <v>5743644.2816172</v>
      </c>
      <c r="P14" s="204">
        <f>SUM(D14:O14)</f>
        <v>5743644.2816172</v>
      </c>
      <c r="Q14" s="187"/>
      <c r="R14" s="189"/>
    </row>
    <row r="15" spans="1:19" s="188" customFormat="1" x14ac:dyDescent="0.25">
      <c r="A15" s="186">
        <v>2</v>
      </c>
      <c r="B15" s="198" t="s">
        <v>1</v>
      </c>
      <c r="C15" s="199"/>
      <c r="D15" s="199">
        <v>10789.5</v>
      </c>
      <c r="E15" s="199"/>
      <c r="F15" s="199"/>
      <c r="G15" s="199"/>
      <c r="H15" s="199"/>
      <c r="I15" s="199"/>
      <c r="J15" s="199"/>
      <c r="K15" s="199"/>
      <c r="L15" s="199"/>
      <c r="M15" s="199"/>
      <c r="N15" s="199"/>
      <c r="O15" s="199">
        <v>2447.8964799999999</v>
      </c>
      <c r="P15" s="204">
        <f t="shared" ref="P15:P24" si="0">SUM(D15:O15)</f>
        <v>13237.396479999999</v>
      </c>
      <c r="Q15" s="187"/>
      <c r="R15" s="190"/>
    </row>
    <row r="16" spans="1:19" s="120" customFormat="1" ht="23.25" thickBot="1" x14ac:dyDescent="0.3">
      <c r="A16" s="121">
        <v>3</v>
      </c>
      <c r="B16" s="201" t="s">
        <v>2</v>
      </c>
      <c r="C16" s="199"/>
      <c r="D16" s="199"/>
      <c r="E16" s="199"/>
      <c r="F16" s="199"/>
      <c r="G16" s="199"/>
      <c r="H16" s="199"/>
      <c r="I16" s="199"/>
      <c r="J16" s="199"/>
      <c r="K16" s="199"/>
      <c r="L16" s="199"/>
      <c r="M16" s="199"/>
      <c r="N16" s="199"/>
      <c r="O16" s="224">
        <v>0</v>
      </c>
      <c r="P16" s="204">
        <f t="shared" si="0"/>
        <v>0</v>
      </c>
      <c r="Q16" s="197"/>
      <c r="S16" s="183"/>
    </row>
    <row r="17" spans="1:24" s="188" customFormat="1" ht="12" thickBot="1" x14ac:dyDescent="0.3">
      <c r="A17" s="186">
        <v>4</v>
      </c>
      <c r="B17" s="198" t="s">
        <v>3</v>
      </c>
      <c r="C17" s="199"/>
      <c r="D17" s="199">
        <f>3581816.096907+248007.806536</f>
        <v>3829823.9034430003</v>
      </c>
      <c r="E17" s="199"/>
      <c r="F17" s="203">
        <v>50099.4</v>
      </c>
      <c r="G17" s="199"/>
      <c r="H17" s="199"/>
      <c r="I17" s="199"/>
      <c r="J17" s="199"/>
      <c r="K17" s="199"/>
      <c r="L17" s="199"/>
      <c r="M17" s="199"/>
      <c r="N17" s="199"/>
      <c r="O17" s="199">
        <f>18697.082822+45755.084341</f>
        <v>64452.167163000006</v>
      </c>
      <c r="P17" s="204">
        <f>SUM(D17:O17)</f>
        <v>3944375.4706060002</v>
      </c>
      <c r="Q17" s="192"/>
      <c r="R17" s="193"/>
      <c r="S17" s="190"/>
      <c r="T17" s="189"/>
    </row>
    <row r="18" spans="1:24" s="120" customFormat="1" x14ac:dyDescent="0.25">
      <c r="A18" s="121">
        <v>5</v>
      </c>
      <c r="B18" s="198" t="s">
        <v>4</v>
      </c>
      <c r="C18" s="199"/>
      <c r="D18" s="199"/>
      <c r="E18" s="199"/>
      <c r="F18" s="199"/>
      <c r="G18" s="199"/>
      <c r="H18" s="199"/>
      <c r="I18" s="199"/>
      <c r="J18" s="199"/>
      <c r="K18" s="199"/>
      <c r="L18" s="199"/>
      <c r="M18" s="199"/>
      <c r="N18" s="199"/>
      <c r="O18" s="199">
        <f>43671.848562+61193.158232+491882.830954</f>
        <v>596747.83774800005</v>
      </c>
      <c r="P18" s="204">
        <f t="shared" si="0"/>
        <v>596747.83774800005</v>
      </c>
      <c r="Q18" s="132"/>
      <c r="S18" s="183"/>
    </row>
    <row r="19" spans="1:24" s="120" customFormat="1" x14ac:dyDescent="0.25">
      <c r="A19" s="121">
        <v>6</v>
      </c>
      <c r="B19" s="198" t="s">
        <v>5</v>
      </c>
      <c r="C19" s="199"/>
      <c r="D19" s="199"/>
      <c r="E19" s="199"/>
      <c r="F19" s="199"/>
      <c r="G19" s="199"/>
      <c r="H19" s="199"/>
      <c r="I19" s="199"/>
      <c r="J19" s="199"/>
      <c r="K19" s="199"/>
      <c r="L19" s="199"/>
      <c r="M19" s="199"/>
      <c r="N19" s="199"/>
      <c r="O19" s="202">
        <v>150930.65102399999</v>
      </c>
      <c r="P19" s="204">
        <f t="shared" si="0"/>
        <v>150930.65102399999</v>
      </c>
      <c r="Q19" s="132"/>
    </row>
    <row r="20" spans="1:24" s="120" customFormat="1" x14ac:dyDescent="0.25">
      <c r="A20" s="121">
        <v>7</v>
      </c>
      <c r="B20" s="198" t="s">
        <v>6</v>
      </c>
      <c r="C20" s="199"/>
      <c r="D20" s="199"/>
      <c r="E20" s="199"/>
      <c r="F20" s="199"/>
      <c r="G20" s="199"/>
      <c r="H20" s="199"/>
      <c r="I20" s="199"/>
      <c r="J20" s="199"/>
      <c r="K20" s="199"/>
      <c r="L20" s="199"/>
      <c r="M20" s="199"/>
      <c r="N20" s="199"/>
      <c r="O20" s="199">
        <v>11309754.615403</v>
      </c>
      <c r="P20" s="204">
        <f t="shared" si="0"/>
        <v>11309754.615403</v>
      </c>
      <c r="Q20" s="132"/>
    </row>
    <row r="21" spans="1:24" s="120" customFormat="1" ht="22.5" x14ac:dyDescent="0.2">
      <c r="A21" s="121">
        <v>8</v>
      </c>
      <c r="B21" s="201" t="s">
        <v>7</v>
      </c>
      <c r="C21" s="199"/>
      <c r="D21" s="199"/>
      <c r="E21" s="199"/>
      <c r="F21" s="199"/>
      <c r="G21" s="199"/>
      <c r="H21" s="199"/>
      <c r="I21" s="199"/>
      <c r="J21" s="199"/>
      <c r="K21" s="199"/>
      <c r="L21" s="199"/>
      <c r="M21" s="199"/>
      <c r="N21" s="199"/>
      <c r="O21" s="199">
        <f>979668.528321+58281.2710912</f>
        <v>1037949.7994122</v>
      </c>
      <c r="P21" s="204">
        <f t="shared" si="0"/>
        <v>1037949.7994122</v>
      </c>
      <c r="Q21" s="195"/>
      <c r="S21" s="196"/>
    </row>
    <row r="22" spans="1:24" s="188" customFormat="1" x14ac:dyDescent="0.2">
      <c r="A22" s="186">
        <v>9</v>
      </c>
      <c r="B22" s="198" t="s">
        <v>8</v>
      </c>
      <c r="C22" s="199"/>
      <c r="D22" s="202">
        <v>23199.283749999999</v>
      </c>
      <c r="E22" s="199"/>
      <c r="F22" s="199">
        <v>822000</v>
      </c>
      <c r="G22" s="199"/>
      <c r="H22" s="199"/>
      <c r="I22" s="199"/>
      <c r="J22" s="199"/>
      <c r="K22" s="199"/>
      <c r="L22" s="199"/>
      <c r="M22" s="199"/>
      <c r="N22" s="199"/>
      <c r="O22" s="199">
        <f>4034809.112484+169664.0326717</f>
        <v>4204473.1451556999</v>
      </c>
      <c r="P22" s="204">
        <f>SUM(D22:O22)</f>
        <v>5049672.4289056994</v>
      </c>
      <c r="Q22" s="194"/>
      <c r="R22" s="192"/>
      <c r="S22" s="193"/>
      <c r="T22" s="189"/>
    </row>
    <row r="23" spans="1:24" s="120" customFormat="1" x14ac:dyDescent="0.2">
      <c r="A23" s="121">
        <v>10</v>
      </c>
      <c r="B23" s="131" t="s">
        <v>9</v>
      </c>
      <c r="C23" s="124"/>
      <c r="D23" s="124"/>
      <c r="E23" s="124"/>
      <c r="F23" s="124"/>
      <c r="G23" s="124"/>
      <c r="H23" s="124"/>
      <c r="I23" s="124"/>
      <c r="J23" s="124"/>
      <c r="K23" s="124"/>
      <c r="L23" s="124"/>
      <c r="M23" s="124"/>
      <c r="N23" s="124"/>
      <c r="O23" s="124">
        <f>23295.93102+204679.057472+2511.448951</f>
        <v>230486.43744299997</v>
      </c>
      <c r="P23" s="136">
        <f t="shared" si="0"/>
        <v>230486.43744299997</v>
      </c>
      <c r="Q23" s="65"/>
      <c r="T23" s="133"/>
    </row>
    <row r="24" spans="1:24" s="120" customFormat="1" x14ac:dyDescent="0.2">
      <c r="A24" s="121">
        <v>11</v>
      </c>
      <c r="B24" s="131" t="s">
        <v>10</v>
      </c>
      <c r="C24" s="124"/>
      <c r="D24" s="124"/>
      <c r="E24" s="124"/>
      <c r="F24" s="124"/>
      <c r="G24" s="124"/>
      <c r="H24" s="124"/>
      <c r="I24" s="124"/>
      <c r="J24" s="124"/>
      <c r="K24" s="124"/>
      <c r="L24" s="124"/>
      <c r="M24" s="124"/>
      <c r="N24" s="124"/>
      <c r="O24" s="124">
        <v>2366980.4686160004</v>
      </c>
      <c r="P24" s="136">
        <f t="shared" si="0"/>
        <v>2366980.4686160004</v>
      </c>
      <c r="Q24" s="65"/>
    </row>
    <row r="25" spans="1:24" s="123" customFormat="1" x14ac:dyDescent="0.2">
      <c r="A25" s="10"/>
      <c r="B25" s="10" t="s">
        <v>97</v>
      </c>
      <c r="C25" s="125"/>
      <c r="D25" s="125">
        <f>SUM(D14:D24)</f>
        <v>3863812.6871930002</v>
      </c>
      <c r="E25" s="125">
        <f t="shared" ref="E25:N25" si="1">SUM(E14:E24)</f>
        <v>0</v>
      </c>
      <c r="F25" s="125">
        <f>SUM(F14:F24)</f>
        <v>872099.4</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25707867.300062101</v>
      </c>
      <c r="P25" s="26">
        <f>SUM(D25:O25)</f>
        <v>30443779.387255102</v>
      </c>
      <c r="Q25" s="119" t="s">
        <v>246</v>
      </c>
      <c r="R25" s="126"/>
    </row>
    <row r="26" spans="1:24" x14ac:dyDescent="0.2">
      <c r="P26" s="221"/>
      <c r="Q26" s="185">
        <f>P25-P26</f>
        <v>30443779.387255102</v>
      </c>
      <c r="R26" s="184">
        <v>29571074.594853003</v>
      </c>
      <c r="S26" s="184">
        <v>29571074.594853003</v>
      </c>
      <c r="U26" s="184"/>
      <c r="V26" s="184"/>
    </row>
    <row r="27" spans="1:24" x14ac:dyDescent="0.2">
      <c r="R27" s="184">
        <v>256755.55611509999</v>
      </c>
      <c r="S27" s="184">
        <v>256755.55611509999</v>
      </c>
      <c r="U27" s="205"/>
      <c r="V27" s="205"/>
    </row>
    <row r="28" spans="1:24" x14ac:dyDescent="0.2">
      <c r="A28" s="225"/>
      <c r="B28" s="16"/>
      <c r="C28" s="16"/>
      <c r="D28" s="260" t="s">
        <v>245</v>
      </c>
      <c r="E28" s="261"/>
      <c r="F28" s="261"/>
      <c r="G28" s="261"/>
      <c r="H28" s="261"/>
      <c r="I28" s="261"/>
      <c r="J28" s="261"/>
      <c r="K28" s="261"/>
      <c r="L28" s="261"/>
      <c r="M28" s="261"/>
      <c r="N28" s="261"/>
      <c r="O28" s="261"/>
      <c r="P28" s="261"/>
      <c r="R28" s="184">
        <v>615949.23628700001</v>
      </c>
      <c r="S28" s="184">
        <v>615949.23628700001</v>
      </c>
      <c r="U28" s="184"/>
    </row>
    <row r="29" spans="1:24" x14ac:dyDescent="0.2">
      <c r="A29" s="265"/>
      <c r="B29" s="262" t="s">
        <v>19</v>
      </c>
      <c r="C29" s="16"/>
      <c r="D29" s="261" t="s">
        <v>59</v>
      </c>
      <c r="E29" s="261"/>
      <c r="F29" s="261"/>
      <c r="G29" s="261"/>
      <c r="H29" s="261"/>
      <c r="I29" s="261"/>
      <c r="J29" s="261"/>
      <c r="K29" s="261"/>
      <c r="L29" s="261"/>
      <c r="M29" s="261"/>
      <c r="N29" s="261"/>
      <c r="O29" s="261"/>
      <c r="P29" s="261"/>
      <c r="R29" s="184">
        <f>SUM(R26:R28)</f>
        <v>30443779.387255102</v>
      </c>
      <c r="S29" s="184">
        <f>SUM(S26:S28)</f>
        <v>30443779.387255102</v>
      </c>
      <c r="U29" s="209"/>
      <c r="X29" s="184"/>
    </row>
    <row r="30" spans="1:24" x14ac:dyDescent="0.2">
      <c r="A30" s="266"/>
      <c r="B30" s="263"/>
      <c r="C30" s="16" t="s">
        <v>164</v>
      </c>
      <c r="D30" s="261" t="s">
        <v>233</v>
      </c>
      <c r="E30" s="261"/>
      <c r="F30" s="261"/>
      <c r="G30" s="261"/>
      <c r="H30" s="261"/>
      <c r="I30" s="261"/>
      <c r="J30" s="261"/>
      <c r="K30" s="261" t="s">
        <v>232</v>
      </c>
      <c r="L30" s="261"/>
      <c r="M30" s="261"/>
      <c r="N30" s="261"/>
      <c r="O30" s="268" t="s">
        <v>230</v>
      </c>
      <c r="P30" s="262" t="s">
        <v>231</v>
      </c>
      <c r="R30" s="184"/>
    </row>
    <row r="31" spans="1:24" x14ac:dyDescent="0.2">
      <c r="A31" s="266"/>
      <c r="B31" s="263"/>
      <c r="C31" s="16" t="s">
        <v>167</v>
      </c>
      <c r="D31" s="16" t="s">
        <v>166</v>
      </c>
      <c r="E31" s="16" t="s">
        <v>168</v>
      </c>
      <c r="F31" s="16" t="s">
        <v>169</v>
      </c>
      <c r="G31" s="16" t="s">
        <v>170</v>
      </c>
      <c r="H31" s="16" t="s">
        <v>171</v>
      </c>
      <c r="I31" s="16" t="s">
        <v>172</v>
      </c>
      <c r="J31" s="16" t="s">
        <v>173</v>
      </c>
      <c r="K31" s="16" t="s">
        <v>174</v>
      </c>
      <c r="L31" s="16" t="s">
        <v>175</v>
      </c>
      <c r="M31" s="16" t="s">
        <v>176</v>
      </c>
      <c r="N31" s="16" t="s">
        <v>177</v>
      </c>
      <c r="O31" s="269"/>
      <c r="P31" s="263"/>
      <c r="R31" s="185"/>
    </row>
    <row r="32" spans="1:24" x14ac:dyDescent="0.2">
      <c r="A32" s="266"/>
      <c r="B32" s="263"/>
      <c r="C32" s="16" t="s">
        <v>165</v>
      </c>
      <c r="D32" s="16" t="s">
        <v>166</v>
      </c>
      <c r="E32" s="16" t="s">
        <v>168</v>
      </c>
      <c r="F32" s="16" t="s">
        <v>169</v>
      </c>
      <c r="G32" s="16" t="s">
        <v>170</v>
      </c>
      <c r="H32" s="16" t="s">
        <v>171</v>
      </c>
      <c r="I32" s="16" t="s">
        <v>172</v>
      </c>
      <c r="J32" s="16" t="s">
        <v>173</v>
      </c>
      <c r="K32" s="16" t="s">
        <v>178</v>
      </c>
      <c r="L32" s="16" t="s">
        <v>179</v>
      </c>
      <c r="M32" s="16" t="s">
        <v>180</v>
      </c>
      <c r="N32" s="16" t="s">
        <v>181</v>
      </c>
      <c r="O32" s="269"/>
      <c r="P32" s="263"/>
    </row>
    <row r="33" spans="1:17" x14ac:dyDescent="0.2">
      <c r="A33" s="266"/>
      <c r="B33" s="263"/>
      <c r="C33" s="16" t="s">
        <v>182</v>
      </c>
      <c r="D33" s="16" t="s">
        <v>183</v>
      </c>
      <c r="E33" s="16" t="s">
        <v>184</v>
      </c>
      <c r="F33" s="16" t="s">
        <v>185</v>
      </c>
      <c r="G33" s="16" t="s">
        <v>186</v>
      </c>
      <c r="H33" s="16" t="s">
        <v>187</v>
      </c>
      <c r="I33" s="16" t="s">
        <v>188</v>
      </c>
      <c r="J33" s="16" t="s">
        <v>189</v>
      </c>
      <c r="K33" s="16" t="s">
        <v>190</v>
      </c>
      <c r="L33" s="16" t="s">
        <v>191</v>
      </c>
      <c r="M33" s="16" t="s">
        <v>192</v>
      </c>
      <c r="N33" s="16" t="s">
        <v>193</v>
      </c>
      <c r="O33" s="269"/>
      <c r="P33" s="263"/>
    </row>
    <row r="34" spans="1:17" x14ac:dyDescent="0.2">
      <c r="A34" s="266"/>
      <c r="B34" s="263"/>
      <c r="C34" s="16" t="s">
        <v>194</v>
      </c>
      <c r="D34" s="16" t="s">
        <v>195</v>
      </c>
      <c r="E34" s="16" t="s">
        <v>196</v>
      </c>
      <c r="F34" s="16" t="s">
        <v>197</v>
      </c>
      <c r="G34" s="16" t="s">
        <v>198</v>
      </c>
      <c r="H34" s="16" t="s">
        <v>199</v>
      </c>
      <c r="I34" s="16" t="s">
        <v>200</v>
      </c>
      <c r="J34" s="16" t="s">
        <v>201</v>
      </c>
      <c r="K34" s="16" t="s">
        <v>202</v>
      </c>
      <c r="L34" s="16" t="s">
        <v>203</v>
      </c>
      <c r="M34" s="16" t="s">
        <v>204</v>
      </c>
      <c r="N34" s="16" t="s">
        <v>205</v>
      </c>
      <c r="O34" s="269"/>
      <c r="P34" s="263"/>
    </row>
    <row r="35" spans="1:17" x14ac:dyDescent="0.2">
      <c r="A35" s="266"/>
      <c r="B35" s="263"/>
      <c r="C35" s="16" t="s">
        <v>206</v>
      </c>
      <c r="D35" s="16" t="s">
        <v>207</v>
      </c>
      <c r="E35" s="16" t="s">
        <v>208</v>
      </c>
      <c r="F35" s="16" t="s">
        <v>209</v>
      </c>
      <c r="G35" s="16" t="s">
        <v>210</v>
      </c>
      <c r="H35" s="16" t="s">
        <v>211</v>
      </c>
      <c r="I35" s="16" t="s">
        <v>212</v>
      </c>
      <c r="J35" s="16" t="s">
        <v>213</v>
      </c>
      <c r="K35" s="16" t="s">
        <v>214</v>
      </c>
      <c r="L35" s="16" t="s">
        <v>215</v>
      </c>
      <c r="M35" s="16" t="s">
        <v>216</v>
      </c>
      <c r="N35" s="16" t="s">
        <v>217</v>
      </c>
      <c r="O35" s="269"/>
      <c r="P35" s="263"/>
    </row>
    <row r="36" spans="1:17" x14ac:dyDescent="0.2">
      <c r="A36" s="267"/>
      <c r="B36" s="264"/>
      <c r="C36" s="16" t="s">
        <v>218</v>
      </c>
      <c r="D36" s="16" t="s">
        <v>219</v>
      </c>
      <c r="E36" s="16" t="s">
        <v>220</v>
      </c>
      <c r="F36" s="16" t="s">
        <v>221</v>
      </c>
      <c r="G36" s="16" t="s">
        <v>222</v>
      </c>
      <c r="H36" s="16" t="s">
        <v>223</v>
      </c>
      <c r="I36" s="16" t="s">
        <v>224</v>
      </c>
      <c r="J36" s="16" t="s">
        <v>225</v>
      </c>
      <c r="K36" s="16" t="s">
        <v>226</v>
      </c>
      <c r="L36" s="16" t="s">
        <v>227</v>
      </c>
      <c r="M36" s="16" t="s">
        <v>228</v>
      </c>
      <c r="N36" s="16" t="s">
        <v>229</v>
      </c>
      <c r="O36" s="270"/>
      <c r="P36" s="264"/>
    </row>
    <row r="37" spans="1:17" x14ac:dyDescent="0.2">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
      <c r="A38" s="225">
        <v>1</v>
      </c>
      <c r="B38" s="17" t="s">
        <v>0</v>
      </c>
      <c r="C38" s="24"/>
      <c r="D38" s="199"/>
      <c r="E38" s="199"/>
      <c r="F38" s="199"/>
      <c r="G38" s="199"/>
      <c r="H38" s="199"/>
      <c r="I38" s="199"/>
      <c r="J38" s="199"/>
      <c r="K38" s="199"/>
      <c r="L38" s="199"/>
      <c r="M38" s="199"/>
      <c r="N38" s="199"/>
      <c r="O38" s="199">
        <v>4674516.2248679996</v>
      </c>
      <c r="P38" s="204">
        <f>SUM(D38:O38)</f>
        <v>4674516.2248679996</v>
      </c>
    </row>
    <row r="39" spans="1:17" x14ac:dyDescent="0.2">
      <c r="A39" s="225">
        <v>2</v>
      </c>
      <c r="B39" s="17" t="s">
        <v>1</v>
      </c>
      <c r="C39" s="24"/>
      <c r="D39" s="199">
        <v>31538.3</v>
      </c>
      <c r="E39" s="199"/>
      <c r="F39" s="199"/>
      <c r="G39" s="199"/>
      <c r="H39" s="199"/>
      <c r="I39" s="199"/>
      <c r="J39" s="199"/>
      <c r="K39" s="199"/>
      <c r="L39" s="199"/>
      <c r="M39" s="199"/>
      <c r="N39" s="199"/>
      <c r="O39" s="199">
        <v>4349.3380123999996</v>
      </c>
      <c r="P39" s="204">
        <f t="shared" ref="P39:P40" si="2">SUM(D39:O39)</f>
        <v>35887.638012399999</v>
      </c>
    </row>
    <row r="40" spans="1:17" ht="22.5" x14ac:dyDescent="0.2">
      <c r="A40" s="121">
        <v>3</v>
      </c>
      <c r="B40" s="122" t="s">
        <v>2</v>
      </c>
      <c r="C40" s="124"/>
      <c r="D40" s="199"/>
      <c r="E40" s="199"/>
      <c r="F40" s="244"/>
      <c r="G40" s="199"/>
      <c r="H40" s="199"/>
      <c r="I40" s="199"/>
      <c r="J40" s="199"/>
      <c r="K40" s="199"/>
      <c r="L40" s="199"/>
      <c r="M40" s="199"/>
      <c r="N40" s="199"/>
      <c r="O40" s="202">
        <v>0</v>
      </c>
      <c r="P40" s="204">
        <f t="shared" si="2"/>
        <v>0</v>
      </c>
    </row>
    <row r="41" spans="1:17" x14ac:dyDescent="0.2">
      <c r="A41" s="225">
        <v>4</v>
      </c>
      <c r="B41" s="17" t="s">
        <v>3</v>
      </c>
      <c r="C41" s="24"/>
      <c r="D41" s="199">
        <v>2853880.3223270001</v>
      </c>
      <c r="E41" s="242"/>
      <c r="F41" s="245">
        <v>49967.199999999997</v>
      </c>
      <c r="G41" s="243"/>
      <c r="H41" s="199"/>
      <c r="I41" s="199"/>
      <c r="J41" s="199"/>
      <c r="K41" s="199"/>
      <c r="L41" s="199"/>
      <c r="M41" s="199"/>
      <c r="N41" s="199"/>
      <c r="O41" s="199">
        <v>55605.175024000004</v>
      </c>
      <c r="P41" s="204">
        <f>SUM(D41:O41)</f>
        <v>2959452.6973510003</v>
      </c>
      <c r="Q41" s="119"/>
    </row>
    <row r="42" spans="1:17" x14ac:dyDescent="0.2">
      <c r="A42" s="225">
        <v>5</v>
      </c>
      <c r="B42" s="17" t="s">
        <v>4</v>
      </c>
      <c r="C42" s="24"/>
      <c r="D42" s="199"/>
      <c r="E42" s="199"/>
      <c r="F42" s="241"/>
      <c r="G42" s="199"/>
      <c r="H42" s="199"/>
      <c r="I42" s="199"/>
      <c r="J42" s="199"/>
      <c r="K42" s="199"/>
      <c r="L42" s="199"/>
      <c r="M42" s="199"/>
      <c r="N42" s="199"/>
      <c r="O42" s="199">
        <v>561463.357601</v>
      </c>
      <c r="P42" s="204">
        <f t="shared" ref="P42:P48" si="3">SUM(D42:O42)</f>
        <v>561463.357601</v>
      </c>
    </row>
    <row r="43" spans="1:17" x14ac:dyDescent="0.2">
      <c r="A43" s="225">
        <v>6</v>
      </c>
      <c r="B43" s="17" t="s">
        <v>5</v>
      </c>
      <c r="C43" s="24"/>
      <c r="D43" s="199"/>
      <c r="E43" s="199"/>
      <c r="F43" s="199"/>
      <c r="G43" s="199"/>
      <c r="H43" s="199"/>
      <c r="I43" s="199"/>
      <c r="J43" s="199"/>
      <c r="K43" s="199"/>
      <c r="L43" s="199"/>
      <c r="M43" s="199"/>
      <c r="N43" s="199"/>
      <c r="O43" s="202">
        <v>118689.607485</v>
      </c>
      <c r="P43" s="204">
        <f t="shared" si="3"/>
        <v>118689.607485</v>
      </c>
    </row>
    <row r="44" spans="1:17" x14ac:dyDescent="0.2">
      <c r="A44" s="225">
        <v>7</v>
      </c>
      <c r="B44" s="17" t="s">
        <v>6</v>
      </c>
      <c r="C44" s="24"/>
      <c r="D44" s="199"/>
      <c r="E44" s="199"/>
      <c r="F44" s="199"/>
      <c r="G44" s="199"/>
      <c r="H44" s="199"/>
      <c r="I44" s="199"/>
      <c r="J44" s="199"/>
      <c r="K44" s="199"/>
      <c r="L44" s="199"/>
      <c r="M44" s="199"/>
      <c r="N44" s="199"/>
      <c r="O44" s="199">
        <v>11336115.629386</v>
      </c>
      <c r="P44" s="204">
        <f t="shared" si="3"/>
        <v>11336115.629386</v>
      </c>
    </row>
    <row r="45" spans="1:17" ht="22.5" x14ac:dyDescent="0.2">
      <c r="A45" s="121">
        <v>8</v>
      </c>
      <c r="B45" s="122" t="s">
        <v>7</v>
      </c>
      <c r="C45" s="124"/>
      <c r="D45" s="199"/>
      <c r="E45" s="199"/>
      <c r="F45" s="199"/>
      <c r="G45" s="199"/>
      <c r="H45" s="199"/>
      <c r="I45" s="199"/>
      <c r="J45" s="199"/>
      <c r="K45" s="199"/>
      <c r="L45" s="199"/>
      <c r="M45" s="199"/>
      <c r="N45" s="199"/>
      <c r="O45" s="199">
        <v>974240.73849530006</v>
      </c>
      <c r="P45" s="204">
        <f t="shared" si="3"/>
        <v>974240.73849530006</v>
      </c>
    </row>
    <row r="46" spans="1:17" x14ac:dyDescent="0.2">
      <c r="A46" s="225">
        <v>9</v>
      </c>
      <c r="B46" s="17" t="s">
        <v>8</v>
      </c>
      <c r="C46" s="24"/>
      <c r="D46" s="202">
        <v>22650.05875</v>
      </c>
      <c r="E46" s="199"/>
      <c r="F46" s="199">
        <v>137010.5</v>
      </c>
      <c r="G46" s="199"/>
      <c r="H46" s="199"/>
      <c r="I46" s="199"/>
      <c r="J46" s="199"/>
      <c r="K46" s="199"/>
      <c r="L46" s="199"/>
      <c r="M46" s="199"/>
      <c r="N46" s="199"/>
      <c r="O46" s="199">
        <v>4288054.5947024003</v>
      </c>
      <c r="P46" s="204">
        <f t="shared" si="3"/>
        <v>4447715.1534524001</v>
      </c>
    </row>
    <row r="47" spans="1:17" x14ac:dyDescent="0.2">
      <c r="A47" s="225">
        <v>10</v>
      </c>
      <c r="B47" s="17" t="s">
        <v>9</v>
      </c>
      <c r="C47" s="24"/>
      <c r="D47" s="124"/>
      <c r="E47" s="124"/>
      <c r="F47" s="124"/>
      <c r="G47" s="124"/>
      <c r="H47" s="124"/>
      <c r="I47" s="124"/>
      <c r="J47" s="124"/>
      <c r="K47" s="124"/>
      <c r="L47" s="124"/>
      <c r="M47" s="124"/>
      <c r="N47" s="124"/>
      <c r="O47" s="124">
        <v>248653.0943</v>
      </c>
      <c r="P47" s="136">
        <f t="shared" si="3"/>
        <v>248653.0943</v>
      </c>
    </row>
    <row r="48" spans="1:17" x14ac:dyDescent="0.2">
      <c r="A48" s="225">
        <v>11</v>
      </c>
      <c r="B48" s="17" t="s">
        <v>10</v>
      </c>
      <c r="C48" s="24"/>
      <c r="D48" s="124"/>
      <c r="E48" s="124"/>
      <c r="F48" s="124"/>
      <c r="G48" s="124"/>
      <c r="H48" s="124"/>
      <c r="I48" s="124"/>
      <c r="J48" s="124"/>
      <c r="K48" s="124"/>
      <c r="L48" s="124"/>
      <c r="M48" s="124"/>
      <c r="N48" s="124"/>
      <c r="O48" s="124">
        <v>2331520.313999</v>
      </c>
      <c r="P48" s="136">
        <f t="shared" si="3"/>
        <v>2331520.313999</v>
      </c>
    </row>
    <row r="49" spans="1:16" x14ac:dyDescent="0.2">
      <c r="A49" s="10"/>
      <c r="B49" s="10" t="s">
        <v>97</v>
      </c>
      <c r="C49" s="125"/>
      <c r="D49" s="125">
        <f>SUM(D38:D48)</f>
        <v>2908068.6810769998</v>
      </c>
      <c r="E49" s="125">
        <f t="shared" ref="E49" si="4">SUM(E38:E48)</f>
        <v>0</v>
      </c>
      <c r="F49" s="125">
        <f>SUM(F38:F48)</f>
        <v>186977.7</v>
      </c>
      <c r="G49" s="125">
        <f t="shared" ref="G49:N49" si="5">SUM(G38:G48)</f>
        <v>0</v>
      </c>
      <c r="H49" s="125">
        <f t="shared" si="5"/>
        <v>0</v>
      </c>
      <c r="I49" s="125">
        <f t="shared" si="5"/>
        <v>0</v>
      </c>
      <c r="J49" s="125">
        <f t="shared" si="5"/>
        <v>0</v>
      </c>
      <c r="K49" s="125">
        <f t="shared" si="5"/>
        <v>0</v>
      </c>
      <c r="L49" s="125">
        <f t="shared" si="5"/>
        <v>0</v>
      </c>
      <c r="M49" s="125">
        <f t="shared" si="5"/>
        <v>0</v>
      </c>
      <c r="N49" s="125">
        <f t="shared" si="5"/>
        <v>0</v>
      </c>
      <c r="O49" s="125">
        <f>SUM(O38:O48)</f>
        <v>24593208.073873099</v>
      </c>
      <c r="P49" s="26">
        <f>SUM(D49:O49)</f>
        <v>27688254.454950098</v>
      </c>
    </row>
    <row r="52" spans="1:16" x14ac:dyDescent="0.2">
      <c r="A52" s="6" t="s">
        <v>236</v>
      </c>
    </row>
    <row r="53" spans="1:16" x14ac:dyDescent="0.2">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0866141732283472" right="0.70866141732283472" top="0.74803149606299213" bottom="0.74803149606299213" header="0.31496062992125984" footer="0.31496062992125984"/>
  <pageSetup paperSize="5" scale="8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3"/>
  <sheetViews>
    <sheetView showGridLines="0" tabSelected="1" topLeftCell="A4" zoomScale="104" zoomScaleNormal="104" zoomScaleSheetLayoutView="85" workbookViewId="0">
      <pane xSplit="2" ySplit="10" topLeftCell="C14" activePane="bottomRight" state="frozen"/>
      <selection activeCell="A4" sqref="A4"/>
      <selection pane="topRight" activeCell="C4" sqref="C4"/>
      <selection pane="bottomLeft" activeCell="A14" sqref="A14"/>
      <selection pane="bottomRight" activeCell="R26" sqref="R26"/>
    </sheetView>
  </sheetViews>
  <sheetFormatPr defaultColWidth="8.7109375" defaultRowHeight="11.25" x14ac:dyDescent="0.2"/>
  <cols>
    <col min="1" max="1" width="2.85546875" style="22" bestFit="1" customWidth="1"/>
    <col min="2" max="2" width="32" style="6" customWidth="1"/>
    <col min="3" max="3" width="19" style="6" customWidth="1"/>
    <col min="4" max="4" width="8.7109375" style="6" bestFit="1" customWidth="1"/>
    <col min="5" max="5" width="13.140625" style="6" customWidth="1"/>
    <col min="6" max="6" width="11.7109375" style="6" customWidth="1"/>
    <col min="7" max="7" width="14.7109375" style="6" customWidth="1"/>
    <col min="8" max="8" width="13.140625" style="6" hidden="1" customWidth="1"/>
    <col min="9" max="9" width="11.42578125" style="6" hidden="1" customWidth="1"/>
    <col min="10" max="10" width="11.7109375" style="6" hidden="1" customWidth="1"/>
    <col min="11" max="11" width="12" style="6" customWidth="1"/>
    <col min="12" max="12" width="11.85546875" style="6" customWidth="1"/>
    <col min="13" max="13" width="12.140625" style="6" customWidth="1"/>
    <col min="14" max="14" width="11.85546875" style="6" customWidth="1"/>
    <col min="15" max="15" width="11.85546875" style="6" bestFit="1" customWidth="1"/>
    <col min="16" max="16" width="9.5703125" style="6" bestFit="1" customWidth="1"/>
    <col min="17" max="17" width="10.5703125" style="6" bestFit="1" customWidth="1"/>
    <col min="18" max="19" width="9.5703125" style="6" bestFit="1" customWidth="1"/>
    <col min="20" max="20" width="8.7109375" style="6"/>
    <col min="21" max="21" width="12" style="6" bestFit="1" customWidth="1"/>
    <col min="22" max="16384" width="8.7109375" style="6"/>
  </cols>
  <sheetData>
    <row r="1" spans="1:19" x14ac:dyDescent="0.2">
      <c r="A1" s="100" t="s">
        <v>234</v>
      </c>
    </row>
    <row r="2" spans="1:19" x14ac:dyDescent="0.2">
      <c r="A2" s="100"/>
      <c r="B2" s="6" t="s">
        <v>235</v>
      </c>
    </row>
    <row r="3" spans="1:19" x14ac:dyDescent="0.2">
      <c r="A3" s="100"/>
    </row>
    <row r="4" spans="1:19" x14ac:dyDescent="0.2">
      <c r="A4" s="246"/>
      <c r="B4" s="16"/>
      <c r="C4" s="16"/>
      <c r="D4" s="260" t="s">
        <v>249</v>
      </c>
      <c r="E4" s="261"/>
      <c r="F4" s="261"/>
      <c r="G4" s="261"/>
      <c r="H4" s="261"/>
      <c r="I4" s="261"/>
      <c r="J4" s="261"/>
      <c r="K4" s="261"/>
      <c r="L4" s="261"/>
      <c r="M4" s="261"/>
      <c r="N4" s="261"/>
      <c r="O4" s="261"/>
      <c r="P4" s="261"/>
    </row>
    <row r="5" spans="1:19" x14ac:dyDescent="0.2">
      <c r="A5" s="265"/>
      <c r="B5" s="262" t="s">
        <v>19</v>
      </c>
      <c r="C5" s="16"/>
      <c r="D5" s="271" t="s">
        <v>59</v>
      </c>
      <c r="E5" s="272"/>
      <c r="F5" s="272"/>
      <c r="G5" s="272"/>
      <c r="H5" s="272"/>
      <c r="I5" s="272"/>
      <c r="J5" s="272"/>
      <c r="K5" s="272"/>
      <c r="L5" s="272"/>
      <c r="M5" s="272"/>
      <c r="N5" s="272"/>
      <c r="O5" s="272"/>
      <c r="P5" s="273"/>
    </row>
    <row r="6" spans="1:19" x14ac:dyDescent="0.2">
      <c r="A6" s="266"/>
      <c r="B6" s="263"/>
      <c r="C6" s="16" t="s">
        <v>164</v>
      </c>
      <c r="D6" s="261" t="s">
        <v>233</v>
      </c>
      <c r="E6" s="261"/>
      <c r="F6" s="261"/>
      <c r="G6" s="261"/>
      <c r="H6" s="261"/>
      <c r="I6" s="261"/>
      <c r="J6" s="261"/>
      <c r="K6" s="261" t="s">
        <v>232</v>
      </c>
      <c r="L6" s="261"/>
      <c r="M6" s="261"/>
      <c r="N6" s="261"/>
      <c r="O6" s="268" t="s">
        <v>230</v>
      </c>
      <c r="P6" s="262" t="s">
        <v>231</v>
      </c>
    </row>
    <row r="7" spans="1:19" ht="10.5" customHeight="1" x14ac:dyDescent="0.2">
      <c r="A7" s="266"/>
      <c r="B7" s="263"/>
      <c r="C7" s="16" t="s">
        <v>167</v>
      </c>
      <c r="D7" s="16" t="s">
        <v>166</v>
      </c>
      <c r="E7" s="16" t="s">
        <v>168</v>
      </c>
      <c r="F7" s="16" t="s">
        <v>169</v>
      </c>
      <c r="G7" s="16" t="s">
        <v>170</v>
      </c>
      <c r="H7" s="16" t="s">
        <v>171</v>
      </c>
      <c r="I7" s="16" t="s">
        <v>172</v>
      </c>
      <c r="J7" s="16" t="s">
        <v>173</v>
      </c>
      <c r="K7" s="16" t="s">
        <v>174</v>
      </c>
      <c r="L7" s="16" t="s">
        <v>175</v>
      </c>
      <c r="M7" s="16" t="s">
        <v>176</v>
      </c>
      <c r="N7" s="16" t="s">
        <v>177</v>
      </c>
      <c r="O7" s="269"/>
      <c r="P7" s="263"/>
    </row>
    <row r="8" spans="1:19" x14ac:dyDescent="0.2">
      <c r="A8" s="266"/>
      <c r="B8" s="263"/>
      <c r="C8" s="16" t="s">
        <v>165</v>
      </c>
      <c r="D8" s="16" t="s">
        <v>166</v>
      </c>
      <c r="E8" s="16" t="s">
        <v>168</v>
      </c>
      <c r="F8" s="16" t="s">
        <v>169</v>
      </c>
      <c r="G8" s="16" t="s">
        <v>170</v>
      </c>
      <c r="H8" s="16" t="s">
        <v>171</v>
      </c>
      <c r="I8" s="16" t="s">
        <v>172</v>
      </c>
      <c r="J8" s="16" t="s">
        <v>173</v>
      </c>
      <c r="K8" s="16" t="s">
        <v>178</v>
      </c>
      <c r="L8" s="16" t="s">
        <v>179</v>
      </c>
      <c r="M8" s="16" t="s">
        <v>180</v>
      </c>
      <c r="N8" s="16" t="s">
        <v>181</v>
      </c>
      <c r="O8" s="269"/>
      <c r="P8" s="263"/>
    </row>
    <row r="9" spans="1:19" x14ac:dyDescent="0.2">
      <c r="A9" s="266"/>
      <c r="B9" s="263"/>
      <c r="C9" s="16" t="s">
        <v>182</v>
      </c>
      <c r="D9" s="16" t="s">
        <v>183</v>
      </c>
      <c r="E9" s="16" t="s">
        <v>184</v>
      </c>
      <c r="F9" s="16" t="s">
        <v>185</v>
      </c>
      <c r="G9" s="16" t="s">
        <v>186</v>
      </c>
      <c r="H9" s="16" t="s">
        <v>187</v>
      </c>
      <c r="I9" s="16" t="s">
        <v>188</v>
      </c>
      <c r="J9" s="16" t="s">
        <v>189</v>
      </c>
      <c r="K9" s="16" t="s">
        <v>190</v>
      </c>
      <c r="L9" s="16" t="s">
        <v>191</v>
      </c>
      <c r="M9" s="16" t="s">
        <v>192</v>
      </c>
      <c r="N9" s="16" t="s">
        <v>193</v>
      </c>
      <c r="O9" s="269"/>
      <c r="P9" s="263"/>
    </row>
    <row r="10" spans="1:19" x14ac:dyDescent="0.2">
      <c r="A10" s="266"/>
      <c r="B10" s="263"/>
      <c r="C10" s="16" t="s">
        <v>194</v>
      </c>
      <c r="D10" s="16" t="s">
        <v>195</v>
      </c>
      <c r="E10" s="16" t="s">
        <v>196</v>
      </c>
      <c r="F10" s="16" t="s">
        <v>197</v>
      </c>
      <c r="G10" s="16" t="s">
        <v>198</v>
      </c>
      <c r="H10" s="16" t="s">
        <v>199</v>
      </c>
      <c r="I10" s="16" t="s">
        <v>200</v>
      </c>
      <c r="J10" s="16" t="s">
        <v>201</v>
      </c>
      <c r="K10" s="16" t="s">
        <v>202</v>
      </c>
      <c r="L10" s="16" t="s">
        <v>203</v>
      </c>
      <c r="M10" s="16" t="s">
        <v>204</v>
      </c>
      <c r="N10" s="16" t="s">
        <v>205</v>
      </c>
      <c r="O10" s="269"/>
      <c r="P10" s="263"/>
    </row>
    <row r="11" spans="1:19" x14ac:dyDescent="0.2">
      <c r="A11" s="266"/>
      <c r="B11" s="263"/>
      <c r="C11" s="16" t="s">
        <v>206</v>
      </c>
      <c r="D11" s="16" t="s">
        <v>207</v>
      </c>
      <c r="E11" s="16" t="s">
        <v>208</v>
      </c>
      <c r="F11" s="16" t="s">
        <v>209</v>
      </c>
      <c r="G11" s="16" t="s">
        <v>210</v>
      </c>
      <c r="H11" s="16" t="s">
        <v>211</v>
      </c>
      <c r="I11" s="16" t="s">
        <v>212</v>
      </c>
      <c r="J11" s="16" t="s">
        <v>213</v>
      </c>
      <c r="K11" s="16" t="s">
        <v>214</v>
      </c>
      <c r="L11" s="16" t="s">
        <v>215</v>
      </c>
      <c r="M11" s="16" t="s">
        <v>216</v>
      </c>
      <c r="N11" s="16" t="s">
        <v>217</v>
      </c>
      <c r="O11" s="269"/>
      <c r="P11" s="263"/>
    </row>
    <row r="12" spans="1:19" x14ac:dyDescent="0.2">
      <c r="A12" s="267"/>
      <c r="B12" s="264"/>
      <c r="C12" s="16" t="s">
        <v>244</v>
      </c>
      <c r="D12" s="16" t="s">
        <v>219</v>
      </c>
      <c r="E12" s="16" t="s">
        <v>220</v>
      </c>
      <c r="F12" s="16" t="s">
        <v>221</v>
      </c>
      <c r="G12" s="16" t="s">
        <v>222</v>
      </c>
      <c r="H12" s="16" t="s">
        <v>223</v>
      </c>
      <c r="I12" s="16" t="s">
        <v>224</v>
      </c>
      <c r="J12" s="16" t="s">
        <v>225</v>
      </c>
      <c r="K12" s="16" t="s">
        <v>226</v>
      </c>
      <c r="L12" s="16" t="s">
        <v>227</v>
      </c>
      <c r="M12" s="16" t="s">
        <v>228</v>
      </c>
      <c r="N12" s="16" t="s">
        <v>229</v>
      </c>
      <c r="O12" s="270"/>
      <c r="P12" s="264"/>
    </row>
    <row r="13" spans="1:19" x14ac:dyDescent="0.2">
      <c r="A13" s="7" t="s">
        <v>17</v>
      </c>
      <c r="B13" s="7" t="s">
        <v>22</v>
      </c>
      <c r="C13" s="7" t="s">
        <v>28</v>
      </c>
      <c r="D13" s="7" t="s">
        <v>29</v>
      </c>
      <c r="E13" s="7" t="s">
        <v>30</v>
      </c>
      <c r="F13" s="7" t="s">
        <v>31</v>
      </c>
      <c r="G13" s="7" t="s">
        <v>32</v>
      </c>
      <c r="H13" s="7" t="s">
        <v>33</v>
      </c>
      <c r="I13" s="7" t="s">
        <v>34</v>
      </c>
      <c r="J13" s="7" t="s">
        <v>35</v>
      </c>
      <c r="K13" s="7" t="s">
        <v>36</v>
      </c>
      <c r="L13" s="7" t="s">
        <v>37</v>
      </c>
      <c r="M13" s="7" t="s">
        <v>38</v>
      </c>
      <c r="N13" s="7" t="s">
        <v>39</v>
      </c>
      <c r="O13" s="7" t="s">
        <v>40</v>
      </c>
      <c r="P13" s="7" t="s">
        <v>41</v>
      </c>
    </row>
    <row r="14" spans="1:19" s="188" customFormat="1" x14ac:dyDescent="0.25">
      <c r="A14" s="186">
        <v>1</v>
      </c>
      <c r="B14" s="198" t="s">
        <v>0</v>
      </c>
      <c r="C14" s="199"/>
      <c r="D14" s="199">
        <v>0</v>
      </c>
      <c r="E14" s="199">
        <v>0</v>
      </c>
      <c r="F14" s="199">
        <v>0</v>
      </c>
      <c r="G14" s="199">
        <v>0</v>
      </c>
      <c r="H14" s="199"/>
      <c r="I14" s="199"/>
      <c r="J14" s="199"/>
      <c r="K14" s="199">
        <v>0</v>
      </c>
      <c r="L14" s="199">
        <v>0</v>
      </c>
      <c r="M14" s="199">
        <v>0</v>
      </c>
      <c r="N14" s="199">
        <v>0</v>
      </c>
      <c r="O14" s="199">
        <f>5235538.180524+464.2689866+871960.74054</f>
        <v>6107963.1900506001</v>
      </c>
      <c r="P14" s="204">
        <f>SUM(D14:O14)</f>
        <v>6107963.1900506001</v>
      </c>
      <c r="Q14" s="187"/>
      <c r="R14" s="189"/>
    </row>
    <row r="15" spans="1:19" s="188" customFormat="1" x14ac:dyDescent="0.25">
      <c r="A15" s="186">
        <v>2</v>
      </c>
      <c r="B15" s="198" t="s">
        <v>1</v>
      </c>
      <c r="C15" s="199"/>
      <c r="D15" s="199">
        <v>0</v>
      </c>
      <c r="E15" s="199">
        <v>0</v>
      </c>
      <c r="F15" s="199">
        <v>0</v>
      </c>
      <c r="G15" s="199">
        <v>0</v>
      </c>
      <c r="H15" s="199"/>
      <c r="I15" s="199"/>
      <c r="J15" s="199"/>
      <c r="K15" s="199">
        <v>0</v>
      </c>
      <c r="L15" s="199">
        <v>0</v>
      </c>
      <c r="M15" s="199">
        <v>0</v>
      </c>
      <c r="N15" s="199">
        <v>0</v>
      </c>
      <c r="O15" s="199">
        <v>2218.6233219999999</v>
      </c>
      <c r="P15" s="204">
        <f t="shared" ref="P15:P24" si="0">SUM(D15:O15)</f>
        <v>2218.6233219999999</v>
      </c>
      <c r="Q15" s="187"/>
      <c r="R15" s="190"/>
    </row>
    <row r="16" spans="1:19" s="120" customFormat="1" ht="23.25" thickBot="1" x14ac:dyDescent="0.3">
      <c r="A16" s="121">
        <v>3</v>
      </c>
      <c r="B16" s="201" t="s">
        <v>2</v>
      </c>
      <c r="C16" s="199"/>
      <c r="D16" s="199">
        <v>0</v>
      </c>
      <c r="E16" s="199">
        <v>0</v>
      </c>
      <c r="F16" s="199">
        <v>0</v>
      </c>
      <c r="G16" s="199">
        <v>0</v>
      </c>
      <c r="H16" s="199"/>
      <c r="I16" s="199"/>
      <c r="J16" s="199"/>
      <c r="K16" s="199">
        <v>0</v>
      </c>
      <c r="L16" s="199">
        <v>0</v>
      </c>
      <c r="M16" s="199">
        <v>0</v>
      </c>
      <c r="N16" s="199">
        <v>0</v>
      </c>
      <c r="O16" s="224">
        <v>428.70259199999998</v>
      </c>
      <c r="P16" s="204">
        <f t="shared" si="0"/>
        <v>428.70259199999998</v>
      </c>
      <c r="Q16" s="197"/>
      <c r="S16" s="183">
        <v>871960.74054000003</v>
      </c>
    </row>
    <row r="17" spans="1:24" s="188" customFormat="1" ht="12" thickBot="1" x14ac:dyDescent="0.3">
      <c r="A17" s="186">
        <v>4</v>
      </c>
      <c r="B17" s="198" t="s">
        <v>3</v>
      </c>
      <c r="C17" s="199"/>
      <c r="D17" s="199">
        <f>1689724.961105+198667.35977</f>
        <v>1888392.320875</v>
      </c>
      <c r="E17" s="199">
        <v>0</v>
      </c>
      <c r="F17" s="203">
        <v>40058.300000000003</v>
      </c>
      <c r="G17" s="199">
        <v>0</v>
      </c>
      <c r="H17" s="199"/>
      <c r="I17" s="199"/>
      <c r="J17" s="199"/>
      <c r="K17" s="199">
        <v>0</v>
      </c>
      <c r="L17" s="199">
        <v>0</v>
      </c>
      <c r="M17" s="199">
        <v>0</v>
      </c>
      <c r="N17" s="199">
        <v>0</v>
      </c>
      <c r="O17" s="199">
        <f>158942.459384+45005.021341</f>
        <v>203947.48072499997</v>
      </c>
      <c r="P17" s="204">
        <f>SUM(D17:O17)</f>
        <v>2132398.1016000002</v>
      </c>
      <c r="Q17" s="192"/>
      <c r="R17" s="193"/>
      <c r="S17" s="190"/>
      <c r="T17" s="189"/>
    </row>
    <row r="18" spans="1:24" s="120" customFormat="1" x14ac:dyDescent="0.25">
      <c r="A18" s="121">
        <v>5</v>
      </c>
      <c r="B18" s="198" t="s">
        <v>4</v>
      </c>
      <c r="C18" s="199"/>
      <c r="D18" s="199">
        <v>0</v>
      </c>
      <c r="E18" s="199">
        <v>0</v>
      </c>
      <c r="F18" s="199">
        <v>0</v>
      </c>
      <c r="G18" s="199">
        <v>0</v>
      </c>
      <c r="H18" s="199"/>
      <c r="I18" s="199"/>
      <c r="J18" s="199"/>
      <c r="K18" s="199">
        <v>0</v>
      </c>
      <c r="L18" s="199">
        <v>0</v>
      </c>
      <c r="M18" s="199">
        <v>0</v>
      </c>
      <c r="N18" s="199">
        <v>0</v>
      </c>
      <c r="O18" s="199">
        <f>43198.288073+59498.179382+500753.494022</f>
        <v>603449.96147700003</v>
      </c>
      <c r="P18" s="204">
        <f t="shared" si="0"/>
        <v>603449.96147700003</v>
      </c>
      <c r="Q18" s="132"/>
      <c r="S18" s="183"/>
    </row>
    <row r="19" spans="1:24" s="120" customFormat="1" x14ac:dyDescent="0.25">
      <c r="A19" s="121">
        <v>6</v>
      </c>
      <c r="B19" s="198" t="s">
        <v>5</v>
      </c>
      <c r="C19" s="199"/>
      <c r="D19" s="199">
        <v>0</v>
      </c>
      <c r="E19" s="199">
        <v>0</v>
      </c>
      <c r="F19" s="199">
        <v>0</v>
      </c>
      <c r="G19" s="199">
        <v>0</v>
      </c>
      <c r="H19" s="199"/>
      <c r="I19" s="199"/>
      <c r="J19" s="199"/>
      <c r="K19" s="199">
        <v>0</v>
      </c>
      <c r="L19" s="199">
        <v>0</v>
      </c>
      <c r="M19" s="199">
        <v>0</v>
      </c>
      <c r="N19" s="199">
        <v>0</v>
      </c>
      <c r="O19" s="202">
        <v>278805.32694499998</v>
      </c>
      <c r="P19" s="204">
        <f t="shared" si="0"/>
        <v>278805.32694499998</v>
      </c>
      <c r="Q19" s="132"/>
    </row>
    <row r="20" spans="1:24" s="120" customFormat="1" x14ac:dyDescent="0.25">
      <c r="A20" s="121">
        <v>7</v>
      </c>
      <c r="B20" s="198" t="s">
        <v>6</v>
      </c>
      <c r="C20" s="199"/>
      <c r="D20" s="199">
        <v>0</v>
      </c>
      <c r="E20" s="199">
        <v>0</v>
      </c>
      <c r="F20" s="199">
        <v>0</v>
      </c>
      <c r="G20" s="199">
        <v>0</v>
      </c>
      <c r="H20" s="199"/>
      <c r="I20" s="199"/>
      <c r="J20" s="199"/>
      <c r="K20" s="199">
        <v>0</v>
      </c>
      <c r="L20" s="199">
        <v>0</v>
      </c>
      <c r="M20" s="199">
        <v>0</v>
      </c>
      <c r="N20" s="199">
        <v>0</v>
      </c>
      <c r="O20" s="199">
        <v>11640983.539027</v>
      </c>
      <c r="P20" s="204">
        <f t="shared" si="0"/>
        <v>11640983.539027</v>
      </c>
      <c r="Q20" s="132"/>
    </row>
    <row r="21" spans="1:24" s="120" customFormat="1" ht="22.5" x14ac:dyDescent="0.2">
      <c r="A21" s="121">
        <v>8</v>
      </c>
      <c r="B21" s="201" t="s">
        <v>7</v>
      </c>
      <c r="C21" s="199"/>
      <c r="D21" s="199">
        <v>0</v>
      </c>
      <c r="E21" s="199">
        <v>0</v>
      </c>
      <c r="F21" s="199">
        <v>0</v>
      </c>
      <c r="G21" s="199">
        <v>0</v>
      </c>
      <c r="H21" s="199"/>
      <c r="I21" s="199"/>
      <c r="J21" s="199"/>
      <c r="K21" s="199">
        <v>0</v>
      </c>
      <c r="L21" s="199">
        <v>0</v>
      </c>
      <c r="M21" s="199">
        <v>0</v>
      </c>
      <c r="N21" s="199">
        <v>0</v>
      </c>
      <c r="O21" s="199">
        <f>923241.160628+50778.2077618</f>
        <v>974019.36838980007</v>
      </c>
      <c r="P21" s="204">
        <f t="shared" si="0"/>
        <v>974019.36838980007</v>
      </c>
      <c r="Q21" s="195"/>
      <c r="S21" s="196"/>
    </row>
    <row r="22" spans="1:24" s="188" customFormat="1" x14ac:dyDescent="0.2">
      <c r="A22" s="186">
        <v>9</v>
      </c>
      <c r="B22" s="198" t="s">
        <v>8</v>
      </c>
      <c r="C22" s="199"/>
      <c r="D22" s="202">
        <v>24747.557499999999</v>
      </c>
      <c r="E22" s="199">
        <v>0</v>
      </c>
      <c r="F22" s="199">
        <v>122000</v>
      </c>
      <c r="G22" s="199">
        <v>0</v>
      </c>
      <c r="H22" s="199"/>
      <c r="I22" s="199"/>
      <c r="J22" s="199"/>
      <c r="K22" s="199">
        <v>0</v>
      </c>
      <c r="L22" s="199">
        <v>0</v>
      </c>
      <c r="M22" s="199">
        <v>0</v>
      </c>
      <c r="N22" s="199">
        <v>0</v>
      </c>
      <c r="O22" s="199">
        <f>3782747.819232+145082.2521976</f>
        <v>3927830.0714296</v>
      </c>
      <c r="P22" s="204">
        <f>SUM(D22:O22)</f>
        <v>4074577.6289296001</v>
      </c>
      <c r="Q22" s="194"/>
      <c r="R22" s="192"/>
      <c r="S22" s="193"/>
      <c r="T22" s="189"/>
    </row>
    <row r="23" spans="1:24" s="120" customFormat="1" x14ac:dyDescent="0.2">
      <c r="A23" s="121">
        <v>10</v>
      </c>
      <c r="B23" s="131" t="s">
        <v>9</v>
      </c>
      <c r="C23" s="124"/>
      <c r="D23" s="124">
        <v>0</v>
      </c>
      <c r="E23" s="124">
        <v>0</v>
      </c>
      <c r="F23" s="124">
        <v>0</v>
      </c>
      <c r="G23" s="124">
        <v>0</v>
      </c>
      <c r="H23" s="124"/>
      <c r="I23" s="124"/>
      <c r="J23" s="124"/>
      <c r="K23" s="124">
        <v>0</v>
      </c>
      <c r="L23" s="124">
        <v>0</v>
      </c>
      <c r="M23" s="124">
        <v>0</v>
      </c>
      <c r="N23" s="124">
        <v>0</v>
      </c>
      <c r="O23" s="124">
        <f>51762.398476+191276.415997+72203.411806</f>
        <v>315242.22627899999</v>
      </c>
      <c r="P23" s="136">
        <f t="shared" si="0"/>
        <v>315242.22627899999</v>
      </c>
      <c r="Q23" s="65"/>
      <c r="T23" s="133"/>
    </row>
    <row r="24" spans="1:24" s="120" customFormat="1" x14ac:dyDescent="0.2">
      <c r="A24" s="121">
        <v>11</v>
      </c>
      <c r="B24" s="131" t="s">
        <v>10</v>
      </c>
      <c r="C24" s="124"/>
      <c r="D24" s="124">
        <v>0</v>
      </c>
      <c r="E24" s="124">
        <v>0</v>
      </c>
      <c r="F24" s="124">
        <v>0</v>
      </c>
      <c r="G24" s="124">
        <v>0</v>
      </c>
      <c r="H24" s="124"/>
      <c r="I24" s="124"/>
      <c r="J24" s="124"/>
      <c r="K24" s="124">
        <v>0</v>
      </c>
      <c r="L24" s="124">
        <v>0</v>
      </c>
      <c r="M24" s="124">
        <v>0</v>
      </c>
      <c r="N24" s="124">
        <v>0</v>
      </c>
      <c r="O24" s="124">
        <v>2518548.5639000004</v>
      </c>
      <c r="P24" s="136">
        <f t="shared" si="0"/>
        <v>2518548.5639000004</v>
      </c>
      <c r="Q24" s="65"/>
    </row>
    <row r="25" spans="1:24" s="123" customFormat="1" x14ac:dyDescent="0.2">
      <c r="A25" s="10"/>
      <c r="B25" s="10" t="s">
        <v>97</v>
      </c>
      <c r="C25" s="125"/>
      <c r="D25" s="125">
        <f>SUM(D14:D24)</f>
        <v>1913139.8783750001</v>
      </c>
      <c r="E25" s="125">
        <f t="shared" ref="E25:N25" si="1">SUM(E14:E24)</f>
        <v>0</v>
      </c>
      <c r="F25" s="125">
        <f>SUM(F14:F24)</f>
        <v>162058.29999999999</v>
      </c>
      <c r="G25" s="125">
        <f t="shared" si="1"/>
        <v>0</v>
      </c>
      <c r="H25" s="125">
        <f t="shared" si="1"/>
        <v>0</v>
      </c>
      <c r="I25" s="125">
        <f t="shared" si="1"/>
        <v>0</v>
      </c>
      <c r="J25" s="125">
        <f t="shared" si="1"/>
        <v>0</v>
      </c>
      <c r="K25" s="125">
        <f t="shared" si="1"/>
        <v>0</v>
      </c>
      <c r="L25" s="125">
        <f t="shared" si="1"/>
        <v>0</v>
      </c>
      <c r="M25" s="125">
        <f t="shared" si="1"/>
        <v>0</v>
      </c>
      <c r="N25" s="125">
        <f t="shared" si="1"/>
        <v>0</v>
      </c>
      <c r="O25" s="125">
        <f>SUM(O14:O24)</f>
        <v>26573437.054137003</v>
      </c>
      <c r="P25" s="26">
        <f>SUM(D25:O25)</f>
        <v>28648635.232512005</v>
      </c>
      <c r="Q25" s="119" t="s">
        <v>246</v>
      </c>
      <c r="R25" s="126"/>
    </row>
    <row r="26" spans="1:24" x14ac:dyDescent="0.2">
      <c r="P26" s="221"/>
      <c r="Q26" s="185">
        <f>P25-P26</f>
        <v>28648635.232512005</v>
      </c>
      <c r="R26" s="184">
        <v>27505927.727897998</v>
      </c>
      <c r="S26" s="184"/>
      <c r="U26" s="184"/>
      <c r="V26" s="184"/>
    </row>
    <row r="27" spans="1:24" x14ac:dyDescent="0.2">
      <c r="R27" s="184">
        <v>270746.76407400001</v>
      </c>
      <c r="S27" s="184"/>
      <c r="U27" s="205"/>
      <c r="V27" s="205"/>
    </row>
    <row r="28" spans="1:24" x14ac:dyDescent="0.2">
      <c r="A28" s="246"/>
      <c r="B28" s="16"/>
      <c r="C28" s="16"/>
      <c r="D28" s="260" t="s">
        <v>247</v>
      </c>
      <c r="E28" s="261"/>
      <c r="F28" s="261"/>
      <c r="G28" s="261"/>
      <c r="H28" s="261"/>
      <c r="I28" s="261"/>
      <c r="J28" s="261"/>
      <c r="K28" s="261"/>
      <c r="L28" s="261"/>
      <c r="M28" s="261"/>
      <c r="N28" s="261"/>
      <c r="O28" s="261"/>
      <c r="P28" s="261"/>
      <c r="R28" s="184">
        <v>871960.74054000003</v>
      </c>
      <c r="S28" s="184"/>
      <c r="U28" s="184"/>
    </row>
    <row r="29" spans="1:24" x14ac:dyDescent="0.2">
      <c r="A29" s="265"/>
      <c r="B29" s="262" t="s">
        <v>19</v>
      </c>
      <c r="C29" s="16"/>
      <c r="D29" s="261" t="s">
        <v>59</v>
      </c>
      <c r="E29" s="261"/>
      <c r="F29" s="261"/>
      <c r="G29" s="261"/>
      <c r="H29" s="261"/>
      <c r="I29" s="261"/>
      <c r="J29" s="261"/>
      <c r="K29" s="261"/>
      <c r="L29" s="261"/>
      <c r="M29" s="261"/>
      <c r="N29" s="261"/>
      <c r="O29" s="261"/>
      <c r="P29" s="261"/>
      <c r="R29" s="184">
        <f>SUM(R26:R28)</f>
        <v>28648635.232512001</v>
      </c>
      <c r="S29" s="184"/>
      <c r="U29" s="209"/>
      <c r="X29" s="184"/>
    </row>
    <row r="30" spans="1:24" x14ac:dyDescent="0.2">
      <c r="A30" s="266"/>
      <c r="B30" s="263"/>
      <c r="C30" s="16" t="s">
        <v>164</v>
      </c>
      <c r="D30" s="261" t="s">
        <v>233</v>
      </c>
      <c r="E30" s="261"/>
      <c r="F30" s="261"/>
      <c r="G30" s="261"/>
      <c r="H30" s="261"/>
      <c r="I30" s="261"/>
      <c r="J30" s="261"/>
      <c r="K30" s="261" t="s">
        <v>232</v>
      </c>
      <c r="L30" s="261"/>
      <c r="M30" s="261"/>
      <c r="N30" s="261"/>
      <c r="O30" s="268" t="s">
        <v>230</v>
      </c>
      <c r="P30" s="262" t="s">
        <v>231</v>
      </c>
      <c r="R30" s="184"/>
    </row>
    <row r="31" spans="1:24" x14ac:dyDescent="0.2">
      <c r="A31" s="266"/>
      <c r="B31" s="263"/>
      <c r="C31" s="16" t="s">
        <v>167</v>
      </c>
      <c r="D31" s="16" t="s">
        <v>166</v>
      </c>
      <c r="E31" s="16" t="s">
        <v>168</v>
      </c>
      <c r="F31" s="16" t="s">
        <v>169</v>
      </c>
      <c r="G31" s="16" t="s">
        <v>170</v>
      </c>
      <c r="H31" s="16" t="s">
        <v>171</v>
      </c>
      <c r="I31" s="16" t="s">
        <v>172</v>
      </c>
      <c r="J31" s="16" t="s">
        <v>173</v>
      </c>
      <c r="K31" s="16" t="s">
        <v>174</v>
      </c>
      <c r="L31" s="16" t="s">
        <v>175</v>
      </c>
      <c r="M31" s="16" t="s">
        <v>176</v>
      </c>
      <c r="N31" s="16" t="s">
        <v>177</v>
      </c>
      <c r="O31" s="269"/>
      <c r="P31" s="263"/>
      <c r="R31" s="185"/>
    </row>
    <row r="32" spans="1:24" x14ac:dyDescent="0.2">
      <c r="A32" s="266"/>
      <c r="B32" s="263"/>
      <c r="C32" s="16" t="s">
        <v>165</v>
      </c>
      <c r="D32" s="16" t="s">
        <v>166</v>
      </c>
      <c r="E32" s="16" t="s">
        <v>168</v>
      </c>
      <c r="F32" s="16" t="s">
        <v>169</v>
      </c>
      <c r="G32" s="16" t="s">
        <v>170</v>
      </c>
      <c r="H32" s="16" t="s">
        <v>171</v>
      </c>
      <c r="I32" s="16" t="s">
        <v>172</v>
      </c>
      <c r="J32" s="16" t="s">
        <v>173</v>
      </c>
      <c r="K32" s="16" t="s">
        <v>178</v>
      </c>
      <c r="L32" s="16" t="s">
        <v>179</v>
      </c>
      <c r="M32" s="16" t="s">
        <v>180</v>
      </c>
      <c r="N32" s="16" t="s">
        <v>181</v>
      </c>
      <c r="O32" s="269"/>
      <c r="P32" s="263"/>
    </row>
    <row r="33" spans="1:17" x14ac:dyDescent="0.2">
      <c r="A33" s="266"/>
      <c r="B33" s="263"/>
      <c r="C33" s="16" t="s">
        <v>182</v>
      </c>
      <c r="D33" s="16" t="s">
        <v>183</v>
      </c>
      <c r="E33" s="16" t="s">
        <v>184</v>
      </c>
      <c r="F33" s="16" t="s">
        <v>185</v>
      </c>
      <c r="G33" s="16" t="s">
        <v>186</v>
      </c>
      <c r="H33" s="16" t="s">
        <v>187</v>
      </c>
      <c r="I33" s="16" t="s">
        <v>188</v>
      </c>
      <c r="J33" s="16" t="s">
        <v>189</v>
      </c>
      <c r="K33" s="16" t="s">
        <v>190</v>
      </c>
      <c r="L33" s="16" t="s">
        <v>191</v>
      </c>
      <c r="M33" s="16" t="s">
        <v>192</v>
      </c>
      <c r="N33" s="16" t="s">
        <v>193</v>
      </c>
      <c r="O33" s="269"/>
      <c r="P33" s="263"/>
    </row>
    <row r="34" spans="1:17" x14ac:dyDescent="0.2">
      <c r="A34" s="266"/>
      <c r="B34" s="263"/>
      <c r="C34" s="16" t="s">
        <v>194</v>
      </c>
      <c r="D34" s="16" t="s">
        <v>195</v>
      </c>
      <c r="E34" s="16" t="s">
        <v>196</v>
      </c>
      <c r="F34" s="16" t="s">
        <v>197</v>
      </c>
      <c r="G34" s="16" t="s">
        <v>198</v>
      </c>
      <c r="H34" s="16" t="s">
        <v>199</v>
      </c>
      <c r="I34" s="16" t="s">
        <v>200</v>
      </c>
      <c r="J34" s="16" t="s">
        <v>201</v>
      </c>
      <c r="K34" s="16" t="s">
        <v>202</v>
      </c>
      <c r="L34" s="16" t="s">
        <v>203</v>
      </c>
      <c r="M34" s="16" t="s">
        <v>204</v>
      </c>
      <c r="N34" s="16" t="s">
        <v>205</v>
      </c>
      <c r="O34" s="269"/>
      <c r="P34" s="263"/>
    </row>
    <row r="35" spans="1:17" x14ac:dyDescent="0.2">
      <c r="A35" s="266"/>
      <c r="B35" s="263"/>
      <c r="C35" s="16" t="s">
        <v>206</v>
      </c>
      <c r="D35" s="16" t="s">
        <v>207</v>
      </c>
      <c r="E35" s="16" t="s">
        <v>208</v>
      </c>
      <c r="F35" s="16" t="s">
        <v>209</v>
      </c>
      <c r="G35" s="16" t="s">
        <v>210</v>
      </c>
      <c r="H35" s="16" t="s">
        <v>211</v>
      </c>
      <c r="I35" s="16" t="s">
        <v>212</v>
      </c>
      <c r="J35" s="16" t="s">
        <v>213</v>
      </c>
      <c r="K35" s="16" t="s">
        <v>214</v>
      </c>
      <c r="L35" s="16" t="s">
        <v>215</v>
      </c>
      <c r="M35" s="16" t="s">
        <v>216</v>
      </c>
      <c r="N35" s="16" t="s">
        <v>217</v>
      </c>
      <c r="O35" s="269"/>
      <c r="P35" s="263"/>
    </row>
    <row r="36" spans="1:17" x14ac:dyDescent="0.2">
      <c r="A36" s="267"/>
      <c r="B36" s="264"/>
      <c r="C36" s="16" t="s">
        <v>218</v>
      </c>
      <c r="D36" s="16" t="s">
        <v>219</v>
      </c>
      <c r="E36" s="16" t="s">
        <v>220</v>
      </c>
      <c r="F36" s="16" t="s">
        <v>221</v>
      </c>
      <c r="G36" s="16" t="s">
        <v>222</v>
      </c>
      <c r="H36" s="16" t="s">
        <v>223</v>
      </c>
      <c r="I36" s="16" t="s">
        <v>224</v>
      </c>
      <c r="J36" s="16" t="s">
        <v>225</v>
      </c>
      <c r="K36" s="16" t="s">
        <v>226</v>
      </c>
      <c r="L36" s="16" t="s">
        <v>227</v>
      </c>
      <c r="M36" s="16" t="s">
        <v>228</v>
      </c>
      <c r="N36" s="16" t="s">
        <v>229</v>
      </c>
      <c r="O36" s="270"/>
      <c r="P36" s="264"/>
    </row>
    <row r="37" spans="1:17" x14ac:dyDescent="0.2">
      <c r="A37" s="7" t="s">
        <v>17</v>
      </c>
      <c r="B37" s="7" t="s">
        <v>22</v>
      </c>
      <c r="C37" s="7" t="s">
        <v>28</v>
      </c>
      <c r="D37" s="7" t="s">
        <v>29</v>
      </c>
      <c r="E37" s="7" t="s">
        <v>30</v>
      </c>
      <c r="F37" s="7" t="s">
        <v>31</v>
      </c>
      <c r="G37" s="7" t="s">
        <v>32</v>
      </c>
      <c r="H37" s="7" t="s">
        <v>33</v>
      </c>
      <c r="I37" s="7" t="s">
        <v>34</v>
      </c>
      <c r="J37" s="7" t="s">
        <v>35</v>
      </c>
      <c r="K37" s="7" t="s">
        <v>36</v>
      </c>
      <c r="L37" s="7" t="s">
        <v>37</v>
      </c>
      <c r="M37" s="7" t="s">
        <v>38</v>
      </c>
      <c r="N37" s="7" t="s">
        <v>39</v>
      </c>
      <c r="O37" s="7" t="s">
        <v>40</v>
      </c>
      <c r="P37" s="7" t="s">
        <v>41</v>
      </c>
    </row>
    <row r="38" spans="1:17" x14ac:dyDescent="0.2">
      <c r="A38" s="246">
        <v>1</v>
      </c>
      <c r="B38" s="17" t="s">
        <v>0</v>
      </c>
      <c r="C38" s="24"/>
      <c r="D38" s="199">
        <v>0</v>
      </c>
      <c r="E38" s="199">
        <v>0</v>
      </c>
      <c r="F38" s="199">
        <v>0</v>
      </c>
      <c r="G38" s="199">
        <v>0</v>
      </c>
      <c r="H38" s="199"/>
      <c r="I38" s="199"/>
      <c r="J38" s="199"/>
      <c r="K38" s="199">
        <v>0</v>
      </c>
      <c r="L38" s="199">
        <v>0</v>
      </c>
      <c r="M38" s="199">
        <v>0</v>
      </c>
      <c r="N38" s="199">
        <v>0</v>
      </c>
      <c r="O38" s="199">
        <f>5103844.138409+23850.9069212+615949.236287</f>
        <v>5743644.2816172</v>
      </c>
      <c r="P38" s="204">
        <f>SUM(D38:O38)</f>
        <v>5743644.2816172</v>
      </c>
    </row>
    <row r="39" spans="1:17" x14ac:dyDescent="0.2">
      <c r="A39" s="246">
        <v>2</v>
      </c>
      <c r="B39" s="17" t="s">
        <v>1</v>
      </c>
      <c r="C39" s="24"/>
      <c r="D39" s="199">
        <v>10789.5</v>
      </c>
      <c r="E39" s="199">
        <v>0</v>
      </c>
      <c r="F39" s="199">
        <v>0</v>
      </c>
      <c r="G39" s="199">
        <v>0</v>
      </c>
      <c r="H39" s="199"/>
      <c r="I39" s="199"/>
      <c r="J39" s="199"/>
      <c r="K39" s="199">
        <v>0</v>
      </c>
      <c r="L39" s="199">
        <v>0</v>
      </c>
      <c r="M39" s="199">
        <v>0</v>
      </c>
      <c r="N39" s="199">
        <v>0</v>
      </c>
      <c r="O39" s="199">
        <v>2447.8964799999999</v>
      </c>
      <c r="P39" s="204">
        <f t="shared" ref="P39:P40" si="2">SUM(D39:O39)</f>
        <v>13237.396479999999</v>
      </c>
    </row>
    <row r="40" spans="1:17" ht="23.25" thickBot="1" x14ac:dyDescent="0.25">
      <c r="A40" s="121">
        <v>3</v>
      </c>
      <c r="B40" s="122" t="s">
        <v>2</v>
      </c>
      <c r="C40" s="124"/>
      <c r="D40" s="199">
        <v>0</v>
      </c>
      <c r="E40" s="199">
        <v>0</v>
      </c>
      <c r="F40" s="199">
        <v>0</v>
      </c>
      <c r="G40" s="199">
        <v>0</v>
      </c>
      <c r="H40" s="199"/>
      <c r="I40" s="199"/>
      <c r="J40" s="199"/>
      <c r="K40" s="199">
        <v>0</v>
      </c>
      <c r="L40" s="199">
        <v>0</v>
      </c>
      <c r="M40" s="199">
        <v>0</v>
      </c>
      <c r="N40" s="199">
        <v>0</v>
      </c>
      <c r="O40" s="224">
        <v>0</v>
      </c>
      <c r="P40" s="204">
        <f t="shared" si="2"/>
        <v>0</v>
      </c>
    </row>
    <row r="41" spans="1:17" ht="12" thickBot="1" x14ac:dyDescent="0.25">
      <c r="A41" s="246">
        <v>4</v>
      </c>
      <c r="B41" s="17" t="s">
        <v>3</v>
      </c>
      <c r="C41" s="24"/>
      <c r="D41" s="199">
        <f>3581816.096907+248007.806536</f>
        <v>3829823.9034430003</v>
      </c>
      <c r="E41" s="199">
        <v>0</v>
      </c>
      <c r="F41" s="203">
        <v>50099.4</v>
      </c>
      <c r="G41" s="199">
        <v>0</v>
      </c>
      <c r="H41" s="199"/>
      <c r="I41" s="199"/>
      <c r="J41" s="199"/>
      <c r="K41" s="199">
        <v>0</v>
      </c>
      <c r="L41" s="199">
        <v>0</v>
      </c>
      <c r="M41" s="199">
        <v>0</v>
      </c>
      <c r="N41" s="199">
        <v>0</v>
      </c>
      <c r="O41" s="199">
        <f>18697.082822+45755.084341</f>
        <v>64452.167163000006</v>
      </c>
      <c r="P41" s="204">
        <f>SUM(D41:O41)</f>
        <v>3944375.4706060002</v>
      </c>
      <c r="Q41" s="119"/>
    </row>
    <row r="42" spans="1:17" x14ac:dyDescent="0.2">
      <c r="A42" s="246">
        <v>5</v>
      </c>
      <c r="B42" s="17" t="s">
        <v>4</v>
      </c>
      <c r="C42" s="24"/>
      <c r="D42" s="199">
        <v>0</v>
      </c>
      <c r="E42" s="199">
        <v>0</v>
      </c>
      <c r="F42" s="199">
        <v>0</v>
      </c>
      <c r="G42" s="199">
        <v>0</v>
      </c>
      <c r="H42" s="199"/>
      <c r="I42" s="199"/>
      <c r="J42" s="199"/>
      <c r="K42" s="199">
        <v>0</v>
      </c>
      <c r="L42" s="199">
        <v>0</v>
      </c>
      <c r="M42" s="199">
        <v>0</v>
      </c>
      <c r="N42" s="199">
        <v>0</v>
      </c>
      <c r="O42" s="199">
        <f>43671.848562+61193.158232+491882.830954</f>
        <v>596747.83774800005</v>
      </c>
      <c r="P42" s="204">
        <f t="shared" ref="P42:P48" si="3">SUM(D42:O42)</f>
        <v>596747.83774800005</v>
      </c>
    </row>
    <row r="43" spans="1:17" x14ac:dyDescent="0.2">
      <c r="A43" s="246">
        <v>6</v>
      </c>
      <c r="B43" s="17" t="s">
        <v>5</v>
      </c>
      <c r="C43" s="24"/>
      <c r="D43" s="199">
        <v>0</v>
      </c>
      <c r="E43" s="199">
        <v>0</v>
      </c>
      <c r="F43" s="199">
        <v>0</v>
      </c>
      <c r="G43" s="199">
        <v>0</v>
      </c>
      <c r="H43" s="199"/>
      <c r="I43" s="199"/>
      <c r="J43" s="199"/>
      <c r="K43" s="199">
        <v>0</v>
      </c>
      <c r="L43" s="199">
        <v>0</v>
      </c>
      <c r="M43" s="199">
        <v>0</v>
      </c>
      <c r="N43" s="199">
        <v>0</v>
      </c>
      <c r="O43" s="202">
        <v>150930.65102399999</v>
      </c>
      <c r="P43" s="204">
        <f t="shared" si="3"/>
        <v>150930.65102399999</v>
      </c>
    </row>
    <row r="44" spans="1:17" x14ac:dyDescent="0.2">
      <c r="A44" s="246">
        <v>7</v>
      </c>
      <c r="B44" s="17" t="s">
        <v>6</v>
      </c>
      <c r="C44" s="24"/>
      <c r="D44" s="199">
        <v>0</v>
      </c>
      <c r="E44" s="199">
        <v>0</v>
      </c>
      <c r="F44" s="199">
        <v>0</v>
      </c>
      <c r="G44" s="199">
        <v>0</v>
      </c>
      <c r="H44" s="199"/>
      <c r="I44" s="199"/>
      <c r="J44" s="199"/>
      <c r="K44" s="199">
        <v>0</v>
      </c>
      <c r="L44" s="199">
        <v>0</v>
      </c>
      <c r="M44" s="199">
        <v>0</v>
      </c>
      <c r="N44" s="199">
        <v>0</v>
      </c>
      <c r="O44" s="199">
        <v>11309754.615403</v>
      </c>
      <c r="P44" s="204">
        <f t="shared" si="3"/>
        <v>11309754.615403</v>
      </c>
    </row>
    <row r="45" spans="1:17" ht="22.5" x14ac:dyDescent="0.2">
      <c r="A45" s="121">
        <v>8</v>
      </c>
      <c r="B45" s="122" t="s">
        <v>7</v>
      </c>
      <c r="C45" s="124"/>
      <c r="D45" s="199">
        <v>0</v>
      </c>
      <c r="E45" s="199">
        <v>0</v>
      </c>
      <c r="F45" s="199">
        <v>0</v>
      </c>
      <c r="G45" s="199">
        <v>0</v>
      </c>
      <c r="H45" s="199"/>
      <c r="I45" s="199"/>
      <c r="J45" s="199"/>
      <c r="K45" s="199">
        <v>0</v>
      </c>
      <c r="L45" s="199">
        <v>0</v>
      </c>
      <c r="M45" s="199">
        <v>0</v>
      </c>
      <c r="N45" s="199">
        <v>0</v>
      </c>
      <c r="O45" s="199">
        <f>979668.528321+58281.2710912</f>
        <v>1037949.7994122</v>
      </c>
      <c r="P45" s="204">
        <f t="shared" si="3"/>
        <v>1037949.7994122</v>
      </c>
    </row>
    <row r="46" spans="1:17" x14ac:dyDescent="0.2">
      <c r="A46" s="246">
        <v>9</v>
      </c>
      <c r="B46" s="17" t="s">
        <v>8</v>
      </c>
      <c r="C46" s="24"/>
      <c r="D46" s="202">
        <v>23199.283749999999</v>
      </c>
      <c r="E46" s="199">
        <v>0</v>
      </c>
      <c r="F46" s="199">
        <v>822000</v>
      </c>
      <c r="G46" s="199">
        <v>0</v>
      </c>
      <c r="H46" s="199"/>
      <c r="I46" s="199"/>
      <c r="J46" s="199"/>
      <c r="K46" s="199">
        <v>0</v>
      </c>
      <c r="L46" s="199">
        <v>0</v>
      </c>
      <c r="M46" s="199">
        <v>0</v>
      </c>
      <c r="N46" s="199">
        <v>0</v>
      </c>
      <c r="O46" s="199">
        <f>4034809.112484+169664.0326717</f>
        <v>4204473.1451556999</v>
      </c>
      <c r="P46" s="204">
        <f t="shared" si="3"/>
        <v>5049672.4289056994</v>
      </c>
    </row>
    <row r="47" spans="1:17" x14ac:dyDescent="0.2">
      <c r="A47" s="246">
        <v>10</v>
      </c>
      <c r="B47" s="17" t="s">
        <v>9</v>
      </c>
      <c r="C47" s="24"/>
      <c r="D47" s="124">
        <v>0</v>
      </c>
      <c r="E47" s="124">
        <v>0</v>
      </c>
      <c r="F47" s="124">
        <v>0</v>
      </c>
      <c r="G47" s="124">
        <v>0</v>
      </c>
      <c r="H47" s="124"/>
      <c r="I47" s="124"/>
      <c r="J47" s="124"/>
      <c r="K47" s="124">
        <v>0</v>
      </c>
      <c r="L47" s="124">
        <v>0</v>
      </c>
      <c r="M47" s="124">
        <v>0</v>
      </c>
      <c r="N47" s="124">
        <v>0</v>
      </c>
      <c r="O47" s="124">
        <f>23295.93102+204679.057472+2511.448951</f>
        <v>230486.43744299997</v>
      </c>
      <c r="P47" s="136">
        <f t="shared" si="3"/>
        <v>230486.43744299997</v>
      </c>
    </row>
    <row r="48" spans="1:17" x14ac:dyDescent="0.2">
      <c r="A48" s="246">
        <v>11</v>
      </c>
      <c r="B48" s="17" t="s">
        <v>10</v>
      </c>
      <c r="C48" s="24"/>
      <c r="D48" s="124">
        <v>0</v>
      </c>
      <c r="E48" s="124">
        <v>0</v>
      </c>
      <c r="F48" s="124">
        <v>0</v>
      </c>
      <c r="G48" s="124">
        <v>0</v>
      </c>
      <c r="H48" s="124"/>
      <c r="I48" s="124"/>
      <c r="J48" s="124"/>
      <c r="K48" s="124">
        <v>0</v>
      </c>
      <c r="L48" s="124">
        <v>0</v>
      </c>
      <c r="M48" s="124">
        <v>0</v>
      </c>
      <c r="N48" s="124">
        <v>0</v>
      </c>
      <c r="O48" s="124">
        <v>2366980.4686160004</v>
      </c>
      <c r="P48" s="136">
        <f t="shared" si="3"/>
        <v>2366980.4686160004</v>
      </c>
    </row>
    <row r="49" spans="1:16" x14ac:dyDescent="0.2">
      <c r="A49" s="10"/>
      <c r="B49" s="10" t="s">
        <v>97</v>
      </c>
      <c r="C49" s="125"/>
      <c r="D49" s="125">
        <f>SUM(D38:D48)</f>
        <v>3863812.6871930002</v>
      </c>
      <c r="E49" s="125">
        <f t="shared" ref="E49" si="4">SUM(E38:E48)</f>
        <v>0</v>
      </c>
      <c r="F49" s="125">
        <f>SUM(F38:F48)</f>
        <v>872099.4</v>
      </c>
      <c r="G49" s="125">
        <f t="shared" ref="G49:N49" si="5">SUM(G38:G48)</f>
        <v>0</v>
      </c>
      <c r="H49" s="125">
        <f t="shared" si="5"/>
        <v>0</v>
      </c>
      <c r="I49" s="125">
        <f t="shared" si="5"/>
        <v>0</v>
      </c>
      <c r="J49" s="125">
        <f t="shared" si="5"/>
        <v>0</v>
      </c>
      <c r="K49" s="125">
        <f t="shared" si="5"/>
        <v>0</v>
      </c>
      <c r="L49" s="125">
        <f t="shared" si="5"/>
        <v>0</v>
      </c>
      <c r="M49" s="125">
        <f t="shared" si="5"/>
        <v>0</v>
      </c>
      <c r="N49" s="125">
        <f t="shared" si="5"/>
        <v>0</v>
      </c>
      <c r="O49" s="125">
        <f>SUM(O38:O48)</f>
        <v>25707867.300062101</v>
      </c>
      <c r="P49" s="26">
        <f>SUM(D49:O49)</f>
        <v>30443779.387255102</v>
      </c>
    </row>
    <row r="52" spans="1:16" x14ac:dyDescent="0.2">
      <c r="A52" s="6" t="s">
        <v>236</v>
      </c>
    </row>
    <row r="53" spans="1:16" x14ac:dyDescent="0.2">
      <c r="A53" s="8" t="s">
        <v>237</v>
      </c>
    </row>
  </sheetData>
  <mergeCells count="16">
    <mergeCell ref="D4:P4"/>
    <mergeCell ref="A5:A12"/>
    <mergeCell ref="B5:B12"/>
    <mergeCell ref="D5:P5"/>
    <mergeCell ref="D6:J6"/>
    <mergeCell ref="K6:N6"/>
    <mergeCell ref="O6:O12"/>
    <mergeCell ref="P6:P12"/>
    <mergeCell ref="D28:P28"/>
    <mergeCell ref="A29:A36"/>
    <mergeCell ref="B29:B36"/>
    <mergeCell ref="D29:P29"/>
    <mergeCell ref="D30:J30"/>
    <mergeCell ref="K30:N30"/>
    <mergeCell ref="O30:O36"/>
    <mergeCell ref="P30:P36"/>
  </mergeCells>
  <pageMargins left="0.70866141732283472" right="0.70866141732283472" top="0.74803149606299213" bottom="0.74803149606299213" header="0.31496062992125984" footer="0.31496062992125984"/>
  <pageSetup paperSize="5" scale="8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showGridLines="0" zoomScaleNormal="100" workbookViewId="0">
      <selection activeCell="F21" sqref="F21"/>
    </sheetView>
  </sheetViews>
  <sheetFormatPr defaultRowHeight="15" x14ac:dyDescent="0.25"/>
  <cols>
    <col min="1" max="1" width="2.42578125" bestFit="1" customWidth="1"/>
    <col min="2" max="2" width="3.5703125" customWidth="1"/>
    <col min="3" max="3" width="4.140625" customWidth="1"/>
    <col min="4" max="4" width="4.42578125" customWidth="1"/>
    <col min="5" max="5" width="47.42578125" bestFit="1" customWidth="1"/>
    <col min="6" max="9" width="13.5703125" customWidth="1"/>
    <col min="10" max="10" width="13.140625" bestFit="1" customWidth="1"/>
    <col min="12" max="12" width="14" customWidth="1"/>
    <col min="13" max="13" width="13.85546875" customWidth="1"/>
  </cols>
  <sheetData>
    <row r="1" spans="1:13" x14ac:dyDescent="0.25">
      <c r="A1" t="s">
        <v>146</v>
      </c>
      <c r="B1" t="s">
        <v>147</v>
      </c>
    </row>
    <row r="2" spans="1:13" x14ac:dyDescent="0.25">
      <c r="B2" s="114" t="s">
        <v>17</v>
      </c>
      <c r="C2" t="s">
        <v>148</v>
      </c>
    </row>
    <row r="3" spans="1:13" x14ac:dyDescent="0.25">
      <c r="C3" s="114" t="s">
        <v>149</v>
      </c>
      <c r="D3" t="s">
        <v>150</v>
      </c>
    </row>
    <row r="4" spans="1:13" x14ac:dyDescent="0.25">
      <c r="D4" t="s">
        <v>155</v>
      </c>
    </row>
    <row r="6" spans="1:13" x14ac:dyDescent="0.25">
      <c r="C6" s="114" t="s">
        <v>151</v>
      </c>
      <c r="D6" t="s">
        <v>152</v>
      </c>
    </row>
    <row r="7" spans="1:13" x14ac:dyDescent="0.25">
      <c r="D7" t="s">
        <v>155</v>
      </c>
    </row>
    <row r="9" spans="1:13" x14ac:dyDescent="0.25">
      <c r="C9" s="114" t="s">
        <v>153</v>
      </c>
      <c r="D9" t="s">
        <v>154</v>
      </c>
    </row>
    <row r="10" spans="1:13" s="115" customFormat="1" x14ac:dyDescent="0.25">
      <c r="D10" s="277" t="s">
        <v>18</v>
      </c>
      <c r="E10" s="277" t="s">
        <v>19</v>
      </c>
      <c r="F10" s="279" t="s">
        <v>247</v>
      </c>
      <c r="G10" s="279"/>
      <c r="H10" s="279"/>
      <c r="I10" s="279"/>
      <c r="J10" s="279" t="s">
        <v>245</v>
      </c>
      <c r="K10" s="279"/>
      <c r="L10" s="279"/>
      <c r="M10" s="279"/>
    </row>
    <row r="11" spans="1:13" s="115" customFormat="1" ht="28.5" customHeight="1" x14ac:dyDescent="0.25">
      <c r="D11" s="278"/>
      <c r="E11" s="278"/>
      <c r="F11" s="116" t="s">
        <v>59</v>
      </c>
      <c r="G11" s="116" t="s">
        <v>156</v>
      </c>
      <c r="H11" s="118" t="s">
        <v>157</v>
      </c>
      <c r="I11" s="118" t="s">
        <v>158</v>
      </c>
      <c r="J11" s="116" t="s">
        <v>59</v>
      </c>
      <c r="K11" s="116" t="s">
        <v>156</v>
      </c>
      <c r="L11" s="118" t="s">
        <v>157</v>
      </c>
      <c r="M11" s="118" t="s">
        <v>158</v>
      </c>
    </row>
    <row r="12" spans="1:13" s="43" customFormat="1" ht="14.45" customHeight="1" x14ac:dyDescent="0.25">
      <c r="D12" s="7" t="s">
        <v>17</v>
      </c>
      <c r="E12" s="7" t="s">
        <v>22</v>
      </c>
      <c r="F12" s="7" t="s">
        <v>28</v>
      </c>
      <c r="G12" s="7" t="s">
        <v>29</v>
      </c>
      <c r="H12" s="7" t="s">
        <v>30</v>
      </c>
      <c r="I12" s="7" t="s">
        <v>31</v>
      </c>
      <c r="J12" s="7" t="s">
        <v>28</v>
      </c>
      <c r="K12" s="7" t="s">
        <v>29</v>
      </c>
      <c r="L12" s="7" t="s">
        <v>30</v>
      </c>
      <c r="M12" s="7" t="s">
        <v>31</v>
      </c>
    </row>
    <row r="13" spans="1:13" x14ac:dyDescent="0.25">
      <c r="D13" s="16"/>
      <c r="E13" s="16"/>
      <c r="F13" s="16"/>
      <c r="G13" s="16"/>
      <c r="H13" s="16"/>
      <c r="I13" s="16"/>
      <c r="J13" s="16"/>
      <c r="K13" s="16"/>
      <c r="L13" s="16"/>
      <c r="M13" s="16"/>
    </row>
    <row r="14" spans="1:13" x14ac:dyDescent="0.25">
      <c r="D14" s="16">
        <v>1</v>
      </c>
      <c r="E14" s="17" t="s">
        <v>0</v>
      </c>
      <c r="F14" s="24">
        <v>615949.23628700001</v>
      </c>
      <c r="G14" s="24">
        <v>0</v>
      </c>
      <c r="H14" s="24">
        <f>F14-G14</f>
        <v>615949.23628700001</v>
      </c>
      <c r="I14" s="165">
        <f>H14*0%</f>
        <v>0</v>
      </c>
      <c r="J14" s="24">
        <v>527192.259968</v>
      </c>
      <c r="K14" s="24">
        <v>0</v>
      </c>
      <c r="L14" s="24">
        <f>J14-K14</f>
        <v>527192.259968</v>
      </c>
      <c r="M14" s="165">
        <f>L14*0%</f>
        <v>0</v>
      </c>
    </row>
    <row r="15" spans="1:13" x14ac:dyDescent="0.25">
      <c r="D15" s="16">
        <v>2</v>
      </c>
      <c r="E15" s="17" t="s">
        <v>1</v>
      </c>
      <c r="F15" s="24">
        <v>0</v>
      </c>
      <c r="G15" s="24">
        <v>0</v>
      </c>
      <c r="H15" s="24">
        <v>0</v>
      </c>
      <c r="I15" s="24">
        <v>0</v>
      </c>
      <c r="J15" s="24">
        <v>0</v>
      </c>
      <c r="K15" s="24">
        <v>0</v>
      </c>
      <c r="L15" s="24">
        <v>0</v>
      </c>
      <c r="M15" s="24">
        <v>0</v>
      </c>
    </row>
    <row r="16" spans="1:13" x14ac:dyDescent="0.25">
      <c r="D16" s="16">
        <v>3</v>
      </c>
      <c r="E16" s="17" t="s">
        <v>2</v>
      </c>
      <c r="F16" s="24">
        <v>0</v>
      </c>
      <c r="G16" s="24">
        <v>0</v>
      </c>
      <c r="H16" s="24">
        <v>0</v>
      </c>
      <c r="I16" s="24">
        <v>0</v>
      </c>
      <c r="J16" s="24">
        <v>0</v>
      </c>
      <c r="K16" s="24">
        <v>0</v>
      </c>
      <c r="L16" s="24">
        <v>0</v>
      </c>
      <c r="M16" s="24">
        <v>0</v>
      </c>
    </row>
    <row r="17" spans="2:13" x14ac:dyDescent="0.25">
      <c r="D17" s="16">
        <v>4</v>
      </c>
      <c r="E17" s="17" t="s">
        <v>3</v>
      </c>
      <c r="F17" s="24">
        <v>0</v>
      </c>
      <c r="G17" s="24">
        <v>0</v>
      </c>
      <c r="H17" s="24">
        <v>0</v>
      </c>
      <c r="I17" s="24">
        <v>0</v>
      </c>
      <c r="J17" s="24">
        <v>0</v>
      </c>
      <c r="K17" s="24">
        <v>0</v>
      </c>
      <c r="L17" s="24">
        <v>0</v>
      </c>
      <c r="M17" s="24">
        <v>0</v>
      </c>
    </row>
    <row r="18" spans="2:13" x14ac:dyDescent="0.25">
      <c r="D18" s="16">
        <v>5</v>
      </c>
      <c r="E18" s="17" t="s">
        <v>7</v>
      </c>
      <c r="F18" s="24">
        <v>0</v>
      </c>
      <c r="G18" s="24">
        <v>0</v>
      </c>
      <c r="H18" s="24">
        <v>0</v>
      </c>
      <c r="I18" s="24">
        <v>0</v>
      </c>
      <c r="J18" s="24">
        <v>0</v>
      </c>
      <c r="K18" s="24">
        <v>0</v>
      </c>
      <c r="L18" s="24">
        <v>0</v>
      </c>
      <c r="M18" s="24">
        <v>0</v>
      </c>
    </row>
    <row r="19" spans="2:13" x14ac:dyDescent="0.25">
      <c r="D19" s="16">
        <v>6</v>
      </c>
      <c r="E19" s="17" t="s">
        <v>8</v>
      </c>
      <c r="F19" s="24">
        <v>0</v>
      </c>
      <c r="G19" s="24">
        <v>0</v>
      </c>
      <c r="H19" s="24">
        <v>0</v>
      </c>
      <c r="I19" s="24">
        <v>0</v>
      </c>
      <c r="J19" s="24">
        <v>0</v>
      </c>
      <c r="K19" s="24">
        <v>0</v>
      </c>
      <c r="L19" s="24">
        <v>0</v>
      </c>
      <c r="M19" s="24">
        <v>0</v>
      </c>
    </row>
    <row r="20" spans="2:13" x14ac:dyDescent="0.25">
      <c r="D20" s="16"/>
      <c r="E20" s="16"/>
      <c r="F20" s="24"/>
      <c r="G20" s="24"/>
      <c r="H20" s="24"/>
      <c r="I20" s="24"/>
      <c r="J20" s="24"/>
      <c r="K20" s="24"/>
      <c r="L20" s="24"/>
      <c r="M20" s="24"/>
    </row>
    <row r="21" spans="2:13" x14ac:dyDescent="0.25">
      <c r="D21" s="116"/>
      <c r="E21" s="116" t="s">
        <v>97</v>
      </c>
      <c r="F21" s="117">
        <f>SUM(F14:F20)</f>
        <v>615949.23628700001</v>
      </c>
      <c r="G21" s="117">
        <f t="shared" ref="G21:I21" si="0">SUM(G14:G20)</f>
        <v>0</v>
      </c>
      <c r="H21" s="117">
        <f t="shared" si="0"/>
        <v>615949.23628700001</v>
      </c>
      <c r="I21" s="166">
        <f t="shared" si="0"/>
        <v>0</v>
      </c>
      <c r="J21" s="117">
        <f>SUM(J14:J20)</f>
        <v>527192.259968</v>
      </c>
      <c r="K21" s="117">
        <f t="shared" ref="K21:M21" si="1">SUM(K14:K20)</f>
        <v>0</v>
      </c>
      <c r="L21" s="117">
        <f t="shared" si="1"/>
        <v>527192.259968</v>
      </c>
      <c r="M21" s="166">
        <f t="shared" si="1"/>
        <v>0</v>
      </c>
    </row>
    <row r="24" spans="2:13" x14ac:dyDescent="0.25">
      <c r="B24" s="157" t="s">
        <v>236</v>
      </c>
      <c r="C24" s="157"/>
    </row>
    <row r="25" spans="2:13" x14ac:dyDescent="0.25">
      <c r="B25" s="158" t="s">
        <v>241</v>
      </c>
      <c r="C25" s="157"/>
    </row>
  </sheetData>
  <mergeCells count="4">
    <mergeCell ref="D10:D11"/>
    <mergeCell ref="E10:E11"/>
    <mergeCell ref="F10:I10"/>
    <mergeCell ref="J10:M10"/>
  </mergeCells>
  <pageMargins left="0.70866141732283472" right="0.70866141732283472" top="0.74803149606299213" bottom="0.74803149606299213" header="0.31496062992125984" footer="0.31496062992125984"/>
  <pageSetup paperSize="5"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8</vt:i4>
      </vt:variant>
    </vt:vector>
  </HeadingPairs>
  <TitlesOfParts>
    <vt:vector size="61" baseType="lpstr">
      <vt:lpstr>7 (Juni 2017)</vt:lpstr>
      <vt:lpstr>7 (Juni 2018)</vt:lpstr>
      <vt:lpstr>7 (Juni 2019)</vt:lpstr>
      <vt:lpstr>8 (Juni 2017)</vt:lpstr>
      <vt:lpstr>8 (Juni 2018)</vt:lpstr>
      <vt:lpstr>7 (Juni 2020)</vt:lpstr>
      <vt:lpstr>7 (SEPT 2020)</vt:lpstr>
      <vt:lpstr>7 (DES 2020)</vt:lpstr>
      <vt:lpstr>8 (SEPT 2020)</vt:lpstr>
      <vt:lpstr>8 (Juni 2020)</vt:lpstr>
      <vt:lpstr>8 (Juni 2019)</vt:lpstr>
      <vt:lpstr>9 (Juni 2017)</vt:lpstr>
      <vt:lpstr>9 (Juni 2018)</vt:lpstr>
      <vt:lpstr>8 (DES 2020)</vt:lpstr>
      <vt:lpstr>9 (SEPT 2020)</vt:lpstr>
      <vt:lpstr>9 (Juni 2020)</vt:lpstr>
      <vt:lpstr>9 (Juni 2019)</vt:lpstr>
      <vt:lpstr>10 (Juni 2017)</vt:lpstr>
      <vt:lpstr>10 (Juni 2018)</vt:lpstr>
      <vt:lpstr>10 (Juni 2020)</vt:lpstr>
      <vt:lpstr>10 (Juni 2019)</vt:lpstr>
      <vt:lpstr>11 (juni 2017)</vt:lpstr>
      <vt:lpstr>11 (juni 2018)</vt:lpstr>
      <vt:lpstr>9 (DES 2020)</vt:lpstr>
      <vt:lpstr>10 (SEPT 2020)</vt:lpstr>
      <vt:lpstr>10 (DES 2020)</vt:lpstr>
      <vt:lpstr>11 (DES 2020)</vt:lpstr>
      <vt:lpstr>11 (SEPT 2020)</vt:lpstr>
      <vt:lpstr>11 (juni 2020)</vt:lpstr>
      <vt:lpstr>11 (juni 2019)</vt:lpstr>
      <vt:lpstr>12 (juni 2017) </vt:lpstr>
      <vt:lpstr>12 (juni 2018)</vt:lpstr>
      <vt:lpstr>12 (DES 2020)</vt:lpstr>
      <vt:lpstr>12 (SEPT 2020)</vt:lpstr>
      <vt:lpstr>12 (juni 2020)</vt:lpstr>
      <vt:lpstr>12 (juni 2019)</vt:lpstr>
      <vt:lpstr>13 (Juni 2017)</vt:lpstr>
      <vt:lpstr>13 (Juni 2018)</vt:lpstr>
      <vt:lpstr>13 (SEPT 2020)</vt:lpstr>
      <vt:lpstr>13 (DES 2020)</vt:lpstr>
      <vt:lpstr>13 (Juni 2020)</vt:lpstr>
      <vt:lpstr>13 (Juni 2019)</vt:lpstr>
      <vt:lpstr>Risiko Pasar Juni 2017</vt:lpstr>
      <vt:lpstr>Risiko Pasar Juni 2018</vt:lpstr>
      <vt:lpstr>Risiko Pasar DES 2020</vt:lpstr>
      <vt:lpstr>Risiko Pasar SEPT 2020</vt:lpstr>
      <vt:lpstr>Risiko Pasar Juni 2020</vt:lpstr>
      <vt:lpstr>Risiko Pasar Juni 2019</vt:lpstr>
      <vt:lpstr>R Operasional Juni 2017</vt:lpstr>
      <vt:lpstr>R Operasional Juni 2018</vt:lpstr>
      <vt:lpstr>R Operasional Juni 2019</vt:lpstr>
      <vt:lpstr>R Operasional (DES 2020)</vt:lpstr>
      <vt:lpstr>R Operasional SEPT 2020)</vt:lpstr>
      <vt:lpstr>'10 (DES 2020)'!Print_Area</vt:lpstr>
      <vt:lpstr>'10 (SEPT 2020)'!Print_Area</vt:lpstr>
      <vt:lpstr>'12 (DES 2020)'!Print_Area</vt:lpstr>
      <vt:lpstr>'12 (SEPT 2020)'!Print_Area</vt:lpstr>
      <vt:lpstr>'7 (DES 2020)'!Print_Area</vt:lpstr>
      <vt:lpstr>'7 (SEPT 2020)'!Print_Area</vt:lpstr>
      <vt:lpstr>'9 (DES 2020)'!Print_Area</vt:lpstr>
      <vt:lpstr>'9 (SEPT 2020)'!Print_Area</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KPSMER-OPR12</dc:creator>
  <cp:lastModifiedBy>KPSMER OPR25</cp:lastModifiedBy>
  <cp:lastPrinted>2021-01-15T08:39:20Z</cp:lastPrinted>
  <dcterms:created xsi:type="dcterms:W3CDTF">2019-01-14T03:38:39Z</dcterms:created>
  <dcterms:modified xsi:type="dcterms:W3CDTF">2021-01-15T09:29:43Z</dcterms:modified>
</cp:coreProperties>
</file>